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8100" yWindow="0" windowWidth="10695" windowHeight="6000" tabRatio="806" activeTab="0"/>
  </bookViews>
  <sheets>
    <sheet name="Instructions" sheetId="1" r:id="rId1"/>
    <sheet name="Your 2012 score" sheetId="2" r:id="rId2"/>
    <sheet name="2012 data and trends" sheetId="3" r:id="rId3"/>
    <sheet name="SHA cluster table data" sheetId="4" state="hidden" r:id="rId4"/>
    <sheet name="historical data" sheetId="5" state="hidden" r:id="rId5"/>
  </sheets>
  <definedNames>
    <definedName name="_xlnm._FilterDatabase" localSheetId="4" hidden="1">'historical data'!$A$3:$O$171</definedName>
    <definedName name="AcuteForMatch">#REF!</definedName>
    <definedName name="AcuteScores">#REF!</definedName>
    <definedName name="AE0203ForMatch">#REF!</definedName>
    <definedName name="AE0203Scores">#REF!</definedName>
    <definedName name="AE0405ForMatch">#REF!</definedName>
    <definedName name="AE0405Scores">#REF!</definedName>
    <definedName name="aw">#REF!</definedName>
    <definedName name="awSHA">#REF!</definedName>
    <definedName name="bimc">#REF!</definedName>
    <definedName name="bimcSHA">#REF!</definedName>
    <definedName name="br">#REF!</definedName>
    <definedName name="brSHA">#REF!</definedName>
    <definedName name="ccfp">#REF!</definedName>
    <definedName name="ccfpSHA">#REF!</definedName>
    <definedName name="CMHForMatch">#REF!</definedName>
    <definedName name="CMHScores">#REF!</definedName>
    <definedName name="dignity">#REF!</definedName>
    <definedName name="focus">#REF!</definedName>
    <definedName name="fullset">#REF!</definedName>
    <definedName name="IP0506ForMatch">#REF!</definedName>
    <definedName name="IP0506Scores">#REF!</definedName>
    <definedName name="IP0607ForMatch">#REF!</definedName>
    <definedName name="IP0607Scores">#REF!</definedName>
    <definedName name="IP0708ForMatch">#REF!</definedName>
    <definedName name="IP0708Scores">#REF!</definedName>
    <definedName name="lander1">#REF!</definedName>
    <definedName name="learn">#REF!</definedName>
    <definedName name="MH0506ForMatch">#REF!</definedName>
    <definedName name="MH0506Scores">#REF!</definedName>
    <definedName name="MH0607ForMatch">#REF!</definedName>
    <definedName name="MH0607Scores">#REF!</definedName>
    <definedName name="MH0708ForMatch">#REF!</definedName>
    <definedName name="MH0708Scores">#REF!</definedName>
    <definedName name="OP0203ForMatch">#REF!</definedName>
    <definedName name="OP0203Scores">#REF!</definedName>
    <definedName name="OP0405ForMatch">#REF!</definedName>
    <definedName name="OP0405Scores">#REF!</definedName>
    <definedName name="over2">#REF!</definedName>
    <definedName name="overall">#REF!</definedName>
    <definedName name="overallSHA">#REF!</definedName>
    <definedName name="PC0405ForMatch">#REF!</definedName>
    <definedName name="PC0405Scores">#REF!</definedName>
    <definedName name="PC0708ForMatch">#REF!</definedName>
    <definedName name="PC0708Scores">#REF!</definedName>
    <definedName name="PCTForMatch">#REF!</definedName>
    <definedName name="PCTScores">#REF!</definedName>
    <definedName name="_xlnm.Print_Area" localSheetId="0">'Instructions'!$A$1:$H$26</definedName>
    <definedName name="_xlnm.Print_Area" localSheetId="1">'Your 2012 score'!$A$1:$O$30</definedName>
    <definedName name="sha_others">'SHA cluster table data'!#REF!</definedName>
    <definedName name="SHA_you">'SHA cluster table data'!#REF!</definedName>
    <definedName name="SHATRUSTS">'historical data'!#REF!</definedName>
    <definedName name="shqcc">#REF!</definedName>
    <definedName name="shqccSHA">#REF!</definedName>
    <definedName name="test">#REF!</definedName>
    <definedName name="Trusts">'historical data'!$D$4:$D$171</definedName>
  </definedNames>
  <calcPr fullCalcOnLoad="1"/>
</workbook>
</file>

<file path=xl/comments4.xml><?xml version="1.0" encoding="utf-8"?>
<comments xmlns="http://schemas.openxmlformats.org/spreadsheetml/2006/main">
  <authors>
    <author>Katie Tither</author>
  </authors>
  <commentList>
    <comment ref="B59" authorId="0">
      <text>
        <r>
          <rPr>
            <b/>
            <sz val="8"/>
            <rFont val="Tahoma"/>
            <family val="2"/>
          </rPr>
          <t>Code previously 5QF</t>
        </r>
      </text>
    </comment>
    <comment ref="A3" authorId="0">
      <text>
        <r>
          <rPr>
            <sz val="8"/>
            <rFont val="Tahoma"/>
            <family val="2"/>
          </rPr>
          <t xml:space="preserve">Numbered only if data in 2012. Rest left in list for completeness but as not numbered shohldnt feed through to formulas on right
</t>
        </r>
      </text>
    </comment>
    <comment ref="B3" authorId="0">
      <text>
        <r>
          <rPr>
            <sz val="8"/>
            <rFont val="Tahoma"/>
            <family val="2"/>
          </rPr>
          <t xml:space="preserve">Katie Tither: Highlighted in beige if no data in 2012 and thus don’t need to feed into the chart
</t>
        </r>
      </text>
    </comment>
  </commentList>
</comments>
</file>

<file path=xl/comments5.xml><?xml version="1.0" encoding="utf-8"?>
<comments xmlns="http://schemas.openxmlformats.org/spreadsheetml/2006/main">
  <authors>
    <author>Katie Tither</author>
  </authors>
  <commentList>
    <comment ref="E61" authorId="0">
      <text>
        <r>
          <rPr>
            <sz val="12"/>
            <rFont val="Tahoma"/>
            <family val="2"/>
          </rPr>
          <t>Code change from 5QT to R1F. Previously a PCT which provided some services. The provider part has split from the commissioning part (hence the new code). Thus results should be ok across time, as will be based on the provider part before and after</t>
        </r>
      </text>
    </comment>
    <comment ref="Q185" authorId="0">
      <text>
        <r>
          <rPr>
            <b/>
            <sz val="8"/>
            <rFont val="Tahoma"/>
            <family val="2"/>
          </rPr>
          <t>Katie Tither:</t>
        </r>
        <r>
          <rPr>
            <sz val="8"/>
            <rFont val="Tahoma"/>
            <family val="2"/>
          </rPr>
          <t xml:space="preserve">
-1 because heart of england excluded as issues with data this year</t>
        </r>
      </text>
    </comment>
    <comment ref="F185" authorId="0">
      <text>
        <r>
          <rPr>
            <b/>
            <sz val="8"/>
            <rFont val="Tahoma"/>
            <family val="2"/>
          </rPr>
          <t>Katie Tither:</t>
        </r>
        <r>
          <rPr>
            <sz val="8"/>
            <rFont val="Tahoma"/>
            <family val="2"/>
          </rPr>
          <t xml:space="preserve">
Adjusted to remove heart of england figure (issues with data this year so excluded from national figures)
</t>
        </r>
      </text>
    </comment>
    <comment ref="I173" authorId="0">
      <text>
        <r>
          <rPr>
            <sz val="12"/>
            <rFont val="Tahoma"/>
            <family val="2"/>
          </rPr>
          <t>Heart of England excluded from national figures as there were some issues with the data</t>
        </r>
      </text>
    </comment>
    <comment ref="A3" authorId="0">
      <text>
        <r>
          <rPr>
            <b/>
            <sz val="8"/>
            <rFont val="Tahoma"/>
            <family val="2"/>
          </rPr>
          <t xml:space="preserve">Used on SHA cluster table data tab. Corresponds to actual number of Trusts. These numbers are used on the SHA cluster tab
</t>
        </r>
      </text>
    </comment>
    <comment ref="B3" authorId="0">
      <text>
        <r>
          <rPr>
            <sz val="11"/>
            <rFont val="Tahoma"/>
            <family val="2"/>
          </rPr>
          <t xml:space="preserve">To feed the selection drop down on the score tab and ensure the scores pulled through are linked to the correct trust. This is used to ensure in alphabetical order (including those who don’t have data for this year)
</t>
        </r>
        <r>
          <rPr>
            <sz val="8"/>
            <rFont val="Tahoma"/>
            <family val="2"/>
          </rPr>
          <t xml:space="preserve">
</t>
        </r>
      </text>
    </comment>
  </commentList>
</comments>
</file>

<file path=xl/sharedStrings.xml><?xml version="1.0" encoding="utf-8"?>
<sst xmlns="http://schemas.openxmlformats.org/spreadsheetml/2006/main" count="2020" uniqueCount="499">
  <si>
    <t>The Royal Wolverhampton Hospitals NHS Trust</t>
  </si>
  <si>
    <t>Whipps Cross University Hospital NHS Trust</t>
  </si>
  <si>
    <t>Ashford and St Peter's Hospitals NHS Trust</t>
  </si>
  <si>
    <t>Queen Elizabeth Hospital NHS Trust</t>
  </si>
  <si>
    <t>Barking, Havering and Redbridge Hospitals NHS Trust</t>
  </si>
  <si>
    <t>Burton Hospitals NHS Trust</t>
  </si>
  <si>
    <t>The Mid Cheshire Hospitals NHS Trust</t>
  </si>
  <si>
    <t>Barnet and Chase Farm Hospitals NHS Trust</t>
  </si>
  <si>
    <t>2012 Score:</t>
  </si>
  <si>
    <r>
      <t>Q32</t>
    </r>
    <r>
      <rPr>
        <i/>
        <sz val="10"/>
        <rFont val="Arial"/>
        <family val="2"/>
      </rPr>
      <t>: Were you as involved as you wanted to be in decisions about your care and treatment?</t>
    </r>
  </si>
  <si>
    <r>
      <t>Q34</t>
    </r>
    <r>
      <rPr>
        <i/>
        <sz val="10"/>
        <rFont val="Arial"/>
        <family val="2"/>
      </rPr>
      <t>: Did you find someone on the hospital staff to talk to about worries and fears?</t>
    </r>
  </si>
  <si>
    <r>
      <t>Q36</t>
    </r>
    <r>
      <rPr>
        <i/>
        <sz val="10"/>
        <rFont val="Arial"/>
        <family val="2"/>
      </rPr>
      <t>: Were you given enough privacy when discussing your condition or treatment?</t>
    </r>
  </si>
  <si>
    <r>
      <t>Q56:</t>
    </r>
    <r>
      <rPr>
        <i/>
        <sz val="10"/>
        <rFont val="Arial"/>
        <family val="2"/>
      </rPr>
      <t xml:space="preserve"> Did a member of staff tell you about medication side effects to watch for when you went home?</t>
    </r>
  </si>
  <si>
    <r>
      <t>Q62</t>
    </r>
    <r>
      <rPr>
        <i/>
        <sz val="10"/>
        <rFont val="Arial"/>
        <family val="2"/>
      </rPr>
      <t>: Did hospital staff tell you who to contact if you were worried about your condition or treatment after you left hospital?</t>
    </r>
  </si>
  <si>
    <t>SHA cluster</t>
  </si>
  <si>
    <t>Worthing and Southlands Hospitals NHS Trust</t>
  </si>
  <si>
    <t>Maidstone and Tunbridge Wells NHS Trust</t>
  </si>
  <si>
    <t>Medway NHS Trust</t>
  </si>
  <si>
    <t>Chesterfield Royal Hospital NHS Foundation Trust</t>
  </si>
  <si>
    <t>City Hospitals Sunderland NHS Foundation Trust</t>
  </si>
  <si>
    <t>Yeovil District Hospital NHS Foundation Trust</t>
  </si>
  <si>
    <t>Harrogate and District NHS Foundation Trust</t>
  </si>
  <si>
    <t>The Queen Elizabeth Hospital King's Lynn NHS Trust</t>
  </si>
  <si>
    <t>Liverpool Womens Hospital NHS Foundation Trust</t>
  </si>
  <si>
    <t>The Newcastle Upon Tyne Hospitals NHS Foundation Trust</t>
  </si>
  <si>
    <t>Newham University Hospital NHS Trust</t>
  </si>
  <si>
    <t>Robert Jones and Agnes Hunt Orthopaedic and District Hospital NHS Trust</t>
  </si>
  <si>
    <t>Royal Devon and Exeter NHS Foundation Trust</t>
  </si>
  <si>
    <t>Stockport NHS Foundation Trust</t>
  </si>
  <si>
    <t>Barnsley Hospital NHS Foundation Trust</t>
  </si>
  <si>
    <t>Bedford Hospital NHS Trust</t>
  </si>
  <si>
    <t>Guy's and St Thomas' NHS Foundation Trust</t>
  </si>
  <si>
    <t>Royal Bournemouth and Christchurch Hospitals NHS Foundation Trust</t>
  </si>
  <si>
    <t>Derby Hospitals NHS Foundation Trust</t>
  </si>
  <si>
    <t>Gateshead Health NHS Foundation Trust</t>
  </si>
  <si>
    <t>Homerton University Hospital NHS Foundation Trust</t>
  </si>
  <si>
    <t>Bradford Teaching Hospitals NHS Foundation Trust</t>
  </si>
  <si>
    <t>Frimley Park Hospital NHS Foundation Trust</t>
  </si>
  <si>
    <t>2011 Q41</t>
  </si>
  <si>
    <t>2011 Q44</t>
  </si>
  <si>
    <t>2011 Q45</t>
  </si>
  <si>
    <t>QUESTIONS 2010</t>
  </si>
  <si>
    <t>2010 Q41</t>
  </si>
  <si>
    <t>2010 Q44</t>
  </si>
  <si>
    <t>2010 Q45</t>
  </si>
  <si>
    <t>2010 Q64</t>
  </si>
  <si>
    <t>2010 Q69</t>
  </si>
  <si>
    <t>University Hospital Birmingham NHS Foundation Trust</t>
  </si>
  <si>
    <t>Queen Victoria Hospital NHS Foundation Trust</t>
  </si>
  <si>
    <t>Heart Of England NHS Foundation Trust</t>
  </si>
  <si>
    <t>Countess Of Chester Hospital NHS Foundation Trust</t>
  </si>
  <si>
    <t>Doncaster and Bassetlaw Hospitals NHS Foundation Trust</t>
  </si>
  <si>
    <t>Oxford Radcliffe Hospitals NHS Trust</t>
  </si>
  <si>
    <t>Birmingham Women's Foundation Trust</t>
  </si>
  <si>
    <t>Royal Bolton Hospital NHS Foundation Trust</t>
  </si>
  <si>
    <t>Calderdale and Huddersfield NHS Foundation Trust</t>
  </si>
  <si>
    <t>Liverpool Heart &amp; Chest Hospital NHS Trust</t>
  </si>
  <si>
    <t>Chelsea and Westminster Hospital NHS Foundation Trust</t>
  </si>
  <si>
    <t>Christie Hospital NHS Foundation Trust</t>
  </si>
  <si>
    <t>Clatterbridge Centre for Oncology NHS Foundation Trust</t>
  </si>
  <si>
    <t>East Kent Hospitals University NHS Trust</t>
  </si>
  <si>
    <t>Barts and The London NHS Trust</t>
  </si>
  <si>
    <t>Hinchingbrooke Health Care NHS Trust</t>
  </si>
  <si>
    <t>The Royal Marsden NHS Foundation Trust</t>
  </si>
  <si>
    <t>St George's Healthcare NHS Trust</t>
  </si>
  <si>
    <t>West Hertfordshire Hospitals NHS Trust</t>
  </si>
  <si>
    <t>Trafford Healthcare NHS Trust</t>
  </si>
  <si>
    <t>Plymouth Hospitals NHS Trust</t>
  </si>
  <si>
    <t>Queen Mary's Sidcup NHS Trust</t>
  </si>
  <si>
    <t>North Bristol NHS Trust</t>
  </si>
  <si>
    <t>Epsom and St Helier University Hospitals NHS Trust</t>
  </si>
  <si>
    <t>Surrey and Sussex Healthcare NHS Trust</t>
  </si>
  <si>
    <t>Kingston Hospital NHS Trust</t>
  </si>
  <si>
    <t>REM</t>
  </si>
  <si>
    <t>RCF</t>
  </si>
  <si>
    <t>RDD</t>
  </si>
  <si>
    <t>RLU</t>
  </si>
  <si>
    <t>RMC</t>
  </si>
  <si>
    <t>RWY</t>
  </si>
  <si>
    <t>RBQ</t>
  </si>
  <si>
    <t>RW3</t>
  </si>
  <si>
    <t>RQM</t>
  </si>
  <si>
    <t>RFS</t>
  </si>
  <si>
    <t>RBV</t>
  </si>
  <si>
    <t>RLN</t>
  </si>
  <si>
    <t>REN</t>
  </si>
  <si>
    <t>RN7</t>
  </si>
  <si>
    <t>RC3</t>
  </si>
  <si>
    <t>RWH</t>
  </si>
  <si>
    <t>RJN</t>
  </si>
  <si>
    <t>RVV</t>
  </si>
  <si>
    <t>RA4</t>
  </si>
  <si>
    <t>RDE</t>
  </si>
  <si>
    <t>RLT</t>
  </si>
  <si>
    <t>Colchester Hospital University NHS Foundation Trust</t>
  </si>
  <si>
    <t>Heatherwood and Wexham Park Hospitals NHS Foundation Trust</t>
  </si>
  <si>
    <t>King's College Hospital NHS Foundation Trust</t>
  </si>
  <si>
    <t>Milton Keynes Hospital NHS Foundation Trust</t>
  </si>
  <si>
    <t>University Hospitals Of Morecambe Bay NHS Trust</t>
  </si>
  <si>
    <t>North Cumbria University Hospitals NHS Trust</t>
  </si>
  <si>
    <t>North Tees and Hartlepool NHS Foundation Trust</t>
  </si>
  <si>
    <t>Northern Lincolnshire and Goole Hospitals NHS Foundation Trust</t>
  </si>
  <si>
    <t>Poole Hospital NHS Foundation Trust</t>
  </si>
  <si>
    <t>Royal National Hospital for Rheumatic Diseases NHS Foundation Trust</t>
  </si>
  <si>
    <t>Salisbury NHS Foundation Trust</t>
  </si>
  <si>
    <t>Sherwood Forest Hospitals NHS Foundation Trust</t>
  </si>
  <si>
    <t>University Hospital Of South Manchester NHS Foundation Trust</t>
  </si>
  <si>
    <t>Tameside Hospital Foundation Trust</t>
  </si>
  <si>
    <t>Taunton and Somerset NHS Foundation Trust</t>
  </si>
  <si>
    <t>University Hospitals Bristol NHS Foundation Trust</t>
  </si>
  <si>
    <t xml:space="preserve">Dorset County Hospital NHS Foundation Trust </t>
  </si>
  <si>
    <t>West Suffolk Hospital NHS Trust</t>
  </si>
  <si>
    <t>County Durham and Darlington NHS Foundation Trust</t>
  </si>
  <si>
    <t>Blackpool, Fylde and Wyre Hospitals NHS Foundation Trust</t>
  </si>
  <si>
    <t>Western Sussex Hospitals NHS Trust</t>
  </si>
  <si>
    <t>RYR</t>
  </si>
  <si>
    <t>South London Healthcare NHS Trust</t>
  </si>
  <si>
    <t>RYQ</t>
  </si>
  <si>
    <t>RR8</t>
  </si>
  <si>
    <t>Airedale NHS Trust</t>
  </si>
  <si>
    <t>Dartford and Gravesham NHS Trust</t>
  </si>
  <si>
    <t>Ealing Hospital NHS Trust</t>
  </si>
  <si>
    <t>East and North Hertfordshire NHS Trust</t>
  </si>
  <si>
    <t>East Cheshire NHS Trust</t>
  </si>
  <si>
    <t>George Eliot Hospital NHS Trust</t>
  </si>
  <si>
    <t>Hereford Hospitals NHS Trust</t>
  </si>
  <si>
    <t>The Hillingdon Hospital NHS Trust</t>
  </si>
  <si>
    <t>Hull and East Yorkshire Hospitals NHS Trust</t>
  </si>
  <si>
    <t>Ipswich Hospital NHS Trust</t>
  </si>
  <si>
    <t>Kettering General Hospital NHS Trust</t>
  </si>
  <si>
    <t>Leeds Teaching Hospitals NHS Trust</t>
  </si>
  <si>
    <t>The Lewisham Hospital NHS Trust</t>
  </si>
  <si>
    <t>Mid Essex Hospital Services NHS Trust</t>
  </si>
  <si>
    <t>North Middlesex University Hospital NHS Trust</t>
  </si>
  <si>
    <t>University Hospital Of North Staffordshire NHS Trust</t>
  </si>
  <si>
    <t>North West London Hospitals NHS Trust</t>
  </si>
  <si>
    <t>Northern Devon Healthcare NHS Trust</t>
  </si>
  <si>
    <t>Nuffield Orthopaedic Centre NHS Trust</t>
  </si>
  <si>
    <t>Number</t>
  </si>
  <si>
    <t>Select your Trust:</t>
  </si>
  <si>
    <t>Your scores</t>
  </si>
  <si>
    <t>National</t>
  </si>
  <si>
    <t>Portsmouth Hospitals NHS Trust</t>
  </si>
  <si>
    <t>The Princess Alexandra Hospital NHS Trust</t>
  </si>
  <si>
    <t>Royal Brompton and Harefield NHS Trust</t>
  </si>
  <si>
    <t>Royal Cornwall Hospitals NHS Trust</t>
  </si>
  <si>
    <t>Royal Surrey County Hospital NHS Trust</t>
  </si>
  <si>
    <t>Royal United Hospital Bath NHS Trust</t>
  </si>
  <si>
    <t>Royal West Sussex NHS Trust</t>
  </si>
  <si>
    <t>South Tees Hospitals NHS Trust</t>
  </si>
  <si>
    <t>South Warwickshire General Hospitals NHS Trust</t>
  </si>
  <si>
    <t>Southport and Ormskirk Hospital NHS Trust</t>
  </si>
  <si>
    <t>St Helens and Knowsley Hospitals NHS Trust</t>
  </si>
  <si>
    <t>Central Manchester and Manchester Children's University Hospitals NHS Trust</t>
  </si>
  <si>
    <t>your trust</t>
  </si>
  <si>
    <t>others</t>
  </si>
  <si>
    <t>score</t>
  </si>
  <si>
    <t>QUESTIONS 2009</t>
  </si>
  <si>
    <t>2009 Q41</t>
  </si>
  <si>
    <t>2009 Q44</t>
  </si>
  <si>
    <t>2009 Q45</t>
  </si>
  <si>
    <t>2009 Q64</t>
  </si>
  <si>
    <t>2009 Q69</t>
  </si>
  <si>
    <t>number</t>
  </si>
  <si>
    <t>AC3</t>
  </si>
  <si>
    <t>Acute -Large</t>
  </si>
  <si>
    <t>AC5</t>
  </si>
  <si>
    <t>Acute -Small</t>
  </si>
  <si>
    <t>AC4</t>
  </si>
  <si>
    <t>Acute -Medium</t>
  </si>
  <si>
    <t>AC1</t>
  </si>
  <si>
    <t>Acute -Teaching</t>
  </si>
  <si>
    <t>AC6</t>
  </si>
  <si>
    <t>Acute -Specialist</t>
  </si>
  <si>
    <t>AC2</t>
  </si>
  <si>
    <t>Acute -Multi-Service</t>
  </si>
  <si>
    <t>Primary Care Trust</t>
  </si>
  <si>
    <t>Your Trust:</t>
  </si>
  <si>
    <t>Your clust</t>
  </si>
  <si>
    <t>Your tr num:</t>
  </si>
  <si>
    <t>SHA average</t>
  </si>
  <si>
    <t>average</t>
  </si>
  <si>
    <t>Ave</t>
  </si>
  <si>
    <t>Your scores on individual questions, and on the overall indicator</t>
  </si>
  <si>
    <t>OVERALL INDICATOR</t>
  </si>
  <si>
    <r>
      <t>Queries</t>
    </r>
    <r>
      <rPr>
        <sz val="10"/>
        <rFont val="Arial"/>
        <family val="2"/>
      </rPr>
      <t xml:space="preserve">: For specific queries relating to the content of this tool, please contact statsonexperience@dh.gsi.gov.uk </t>
    </r>
  </si>
  <si>
    <t>Trust num</t>
  </si>
  <si>
    <t>Trust code</t>
  </si>
  <si>
    <t>Rank</t>
  </si>
  <si>
    <t>Score</t>
  </si>
  <si>
    <t>weighting factors for this trust</t>
  </si>
  <si>
    <t>This sheet mimics the standardisation that CQC carry out on the data to take account of the age, gender, and admission method mix for your patients. Analysis shows that these weightings are consistent over time:</t>
  </si>
  <si>
    <t>QUESTIONS 2012</t>
  </si>
  <si>
    <t>2012 Q32</t>
  </si>
  <si>
    <t>2012 Q34</t>
  </si>
  <si>
    <t>2012 Q36</t>
  </si>
  <si>
    <t>2012 Q56</t>
  </si>
  <si>
    <t>2012 Q62</t>
  </si>
  <si>
    <t>2012 score out of 100:</t>
  </si>
  <si>
    <t>2011 Q65</t>
  </si>
  <si>
    <t>2011 Q70</t>
  </si>
  <si>
    <t>United Lincolnshire Hospitals NHS Trust</t>
  </si>
  <si>
    <t>University Hospitals Coventry and Warwickshire NHS Trust</t>
  </si>
  <si>
    <t>University Hospitals Of Leicester NHS Trust</t>
  </si>
  <si>
    <t>Walsall Hospitals NHS Trust</t>
  </si>
  <si>
    <t>Walton Centre for Neurology and Neurosurgery NHS Trust</t>
  </si>
  <si>
    <t>Weston Area Health NHS Trust</t>
  </si>
  <si>
    <t>The Whittington Hospital NHS Trust</t>
  </si>
  <si>
    <t>SHA CODE</t>
  </si>
  <si>
    <t>SHA Total Score</t>
  </si>
  <si>
    <t>SHA Count</t>
  </si>
  <si>
    <t>SHA Average Scores</t>
  </si>
  <si>
    <t>East Sussex Hospitals NHS Trust</t>
  </si>
  <si>
    <t>Mid Yorkshire Hospitals NHS Trust</t>
  </si>
  <si>
    <t>Pennine Acute Hospitals NHS Trust</t>
  </si>
  <si>
    <t>INDICATOR</t>
  </si>
  <si>
    <t>2008 Q39</t>
  </si>
  <si>
    <t>2008 Q42</t>
  </si>
  <si>
    <t>2008 Q43</t>
  </si>
  <si>
    <t>2008 Q62</t>
  </si>
  <si>
    <t>2008 Q67</t>
  </si>
  <si>
    <t>Q64</t>
  </si>
  <si>
    <t>Q62</t>
  </si>
  <si>
    <t>Q60</t>
  </si>
  <si>
    <t>Worcestershire Acute Hospitals NHS Trust</t>
  </si>
  <si>
    <t>Northampton General Hospital NHS Trust</t>
  </si>
  <si>
    <t>Croydon Health Services</t>
  </si>
  <si>
    <t>RYJ</t>
  </si>
  <si>
    <t>Imperial College Healthcare NHS Trust</t>
  </si>
  <si>
    <t>Scarborough and North East Yorkshire Healthcare NHS Trust</t>
  </si>
  <si>
    <t>Southampton University Hospitals NHS Trust</t>
  </si>
  <si>
    <t>Q42</t>
  </si>
  <si>
    <t>Royal Free Hampstead NHS Trust</t>
  </si>
  <si>
    <t>Bromley Hospitals NHS Trust</t>
  </si>
  <si>
    <t>Winchester and Eastleigh Healthcare NHS Trust</t>
  </si>
  <si>
    <t>The Rotherham NHS Foundation Trust</t>
  </si>
  <si>
    <t>Royal Liverpool and Broadgreen University Hospitals NHS Trust</t>
  </si>
  <si>
    <t>Sheffield Teaching Hospitals NHS Foundation Trust</t>
  </si>
  <si>
    <t>South Tyneside NHS Foundation Trust</t>
  </si>
  <si>
    <t>Southend University Hospital NHS Foundation Trust</t>
  </si>
  <si>
    <t>University College London Hospitals NHS Foundation Trust</t>
  </si>
  <si>
    <t>West Middlesex University Hospital NHS Trust</t>
  </si>
  <si>
    <t>Lancashire Teaching Hospitals NHS Foundation Trust</t>
  </si>
  <si>
    <t>Gloucestershire Hospitals NHS Foundation Trust</t>
  </si>
  <si>
    <t>Shrewsbury and Telford Hospital NHS Trust</t>
  </si>
  <si>
    <t>Northumbria Healthcare NHS Foundation Trust</t>
  </si>
  <si>
    <t>Peterborough and Stamford Hospitals NHS Foundation Trust</t>
  </si>
  <si>
    <t>Cambridge University Hospitals NHS Foundation Trust</t>
  </si>
  <si>
    <t xml:space="preserve">Great Western Hospitals NHS Foundation Trust </t>
  </si>
  <si>
    <t>Wirral University Teaching Hospital NHS Foundation Trust</t>
  </si>
  <si>
    <t>James Paget University Hospitals NHS Foundation Trust</t>
  </si>
  <si>
    <t>Royal Berkshire NHS Foundation Trust</t>
  </si>
  <si>
    <t>Dudley Group of Hospitals NHS Trust</t>
  </si>
  <si>
    <t xml:space="preserve">Wrightington, Wigan and Leigh NHS Foundation Trust </t>
  </si>
  <si>
    <t>South Devon Healthcare NHS Foundation Trust</t>
  </si>
  <si>
    <t>Mid Staffordshire Foundation Trust</t>
  </si>
  <si>
    <t xml:space="preserve">Warrington and Halton Hospitals NHS Foundation Trust </t>
  </si>
  <si>
    <t>York Hospitals NHS Foundation Trust</t>
  </si>
  <si>
    <t>Luton and Dunstable Hospital NHS Foundation Trust</t>
  </si>
  <si>
    <t>Norfolk and Norwich University Hospitals NHS Foundation Trust</t>
  </si>
  <si>
    <t>Basingstoke and North Hampshire NHS Foundation Trust</t>
  </si>
  <si>
    <t>Royal Orthopaedic Hospital NHS Foundation Trust</t>
  </si>
  <si>
    <t xml:space="preserve">Salford Royal NHS Foundation Trust </t>
  </si>
  <si>
    <t>Royal National Orthopaedic Hospital NHS Trust</t>
  </si>
  <si>
    <t>RCD</t>
  </si>
  <si>
    <t>RD7</t>
  </si>
  <si>
    <t>RLQ</t>
  </si>
  <si>
    <t>RAS</t>
  </si>
  <si>
    <t>RWA</t>
  </si>
  <si>
    <t>RGQ</t>
  </si>
  <si>
    <t>RNQ</t>
  </si>
  <si>
    <t>RJZ</t>
  </si>
  <si>
    <t>RCX</t>
  </si>
  <si>
    <t>RJ2</t>
  </si>
  <si>
    <t>REP</t>
  </si>
  <si>
    <t>RQ8</t>
  </si>
  <si>
    <t>RD8</t>
  </si>
  <si>
    <t>RTX</t>
  </si>
  <si>
    <t>RTD</t>
  </si>
  <si>
    <t>RNH</t>
  </si>
  <si>
    <t>RNL</t>
  </si>
  <si>
    <t>RAP</t>
  </si>
  <si>
    <t>RJE</t>
  </si>
  <si>
    <t>RVW</t>
  </si>
  <si>
    <t>RV8</t>
  </si>
  <si>
    <t>RBZ</t>
  </si>
  <si>
    <t>RJL</t>
  </si>
  <si>
    <t>RBF</t>
  </si>
  <si>
    <t>RD3</t>
  </si>
  <si>
    <t>RHU</t>
  </si>
  <si>
    <t>RQW</t>
  </si>
  <si>
    <t>RL1</t>
  </si>
  <si>
    <t>RFR</t>
  </si>
  <si>
    <t>RT3</t>
  </si>
  <si>
    <t>REF</t>
  </si>
  <si>
    <t>RQ6</t>
  </si>
  <si>
    <t>RBB</t>
  </si>
  <si>
    <t>RAN</t>
  </si>
  <si>
    <t>RA2</t>
  </si>
  <si>
    <t>RD1</t>
  </si>
  <si>
    <t>RPR</t>
  </si>
  <si>
    <t>RNZ</t>
  </si>
  <si>
    <t>RCC</t>
  </si>
  <si>
    <t>RHQ</t>
  </si>
  <si>
    <t>RK5</t>
  </si>
  <si>
    <t>RM2</t>
  </si>
  <si>
    <t>RTR</t>
  </si>
  <si>
    <t>RE9</t>
  </si>
  <si>
    <t>RJC</t>
  </si>
  <si>
    <t>RAJ</t>
  </si>
  <si>
    <t>RVY</t>
  </si>
  <si>
    <t>RBN</t>
  </si>
  <si>
    <t>RMP</t>
  </si>
  <si>
    <t>RBA</t>
  </si>
  <si>
    <t>RA7</t>
  </si>
  <si>
    <t>RWD</t>
  </si>
  <si>
    <t>RRV</t>
  </si>
  <si>
    <t>RKB</t>
  </si>
  <si>
    <t>RWE</t>
  </si>
  <si>
    <t>RBK</t>
  </si>
  <si>
    <t>RET</t>
  </si>
  <si>
    <t>RBD</t>
  </si>
  <si>
    <t>RFW</t>
  </si>
  <si>
    <t>RGR</t>
  </si>
  <si>
    <t>RA3</t>
  </si>
  <si>
    <t>RKE</t>
  </si>
  <si>
    <t>RXP</t>
  </si>
  <si>
    <t>RXC</t>
  </si>
  <si>
    <t>RXN</t>
  </si>
  <si>
    <t>RXF</t>
  </si>
  <si>
    <t>RW6</t>
  </si>
  <si>
    <t>RXL</t>
  </si>
  <si>
    <t>RXH</t>
  </si>
  <si>
    <t>RTE</t>
  </si>
  <si>
    <t>RXK</t>
  </si>
  <si>
    <t>RXR</t>
  </si>
  <si>
    <t>RXW</t>
  </si>
  <si>
    <t>RXQ</t>
  </si>
  <si>
    <t>RN3</t>
  </si>
  <si>
    <t>RTF</t>
  </si>
  <si>
    <t>RH8</t>
  </si>
  <si>
    <t>RWJ</t>
  </si>
  <si>
    <t>RWP</t>
  </si>
  <si>
    <t>RBL</t>
  </si>
  <si>
    <t>RGP</t>
  </si>
  <si>
    <t>RFF</t>
  </si>
  <si>
    <t>RNS</t>
  </si>
  <si>
    <t>RHW</t>
  </si>
  <si>
    <t>RNA</t>
  </si>
  <si>
    <t>RC1</t>
  </si>
  <si>
    <t>RJ1</t>
  </si>
  <si>
    <t>RGM</t>
  </si>
  <si>
    <t>RDZ</t>
  </si>
  <si>
    <t>RL4</t>
  </si>
  <si>
    <t>RGC</t>
  </si>
  <si>
    <t>RJ6</t>
  </si>
  <si>
    <t>RRF</t>
  </si>
  <si>
    <t>RTK</t>
  </si>
  <si>
    <t>RG2</t>
  </si>
  <si>
    <t>RF4</t>
  </si>
  <si>
    <t>RJF</t>
  </si>
  <si>
    <t>RBT</t>
  </si>
  <si>
    <t>RVL</t>
  </si>
  <si>
    <t>RA9</t>
  </si>
  <si>
    <t>RTG</t>
  </si>
  <si>
    <t>RJD</t>
  </si>
  <si>
    <t>RHM</t>
  </si>
  <si>
    <t>RR7</t>
  </si>
  <si>
    <t>RQX</t>
  </si>
  <si>
    <t>RAL</t>
  </si>
  <si>
    <t>RAE</t>
  </si>
  <si>
    <t>RDU</t>
  </si>
  <si>
    <t>RWW</t>
  </si>
  <si>
    <t>RG3</t>
  </si>
  <si>
    <t>RRK</t>
  </si>
  <si>
    <t>RCB</t>
  </si>
  <si>
    <t>RN1</t>
  </si>
  <si>
    <t>RPC</t>
  </si>
  <si>
    <t>RR1</t>
  </si>
  <si>
    <t>RPL</t>
  </si>
  <si>
    <t>RWF</t>
  </si>
  <si>
    <t>RC9</t>
  </si>
  <si>
    <t>RJR</t>
  </si>
  <si>
    <t>Trust Codes</t>
  </si>
  <si>
    <t>Trust Names</t>
  </si>
  <si>
    <t>Cluster Type</t>
  </si>
  <si>
    <t>Cluster Name</t>
  </si>
  <si>
    <t>SHA Name</t>
  </si>
  <si>
    <t>RP5</t>
  </si>
  <si>
    <t>RPA</t>
  </si>
  <si>
    <t>RNJ</t>
  </si>
  <si>
    <t>RQQ</t>
  </si>
  <si>
    <t>RTH</t>
  </si>
  <si>
    <t>RM1</t>
  </si>
  <si>
    <t>RN5</t>
  </si>
  <si>
    <t>RRJ</t>
  </si>
  <si>
    <t>RPY</t>
  </si>
  <si>
    <t>RJ7</t>
  </si>
  <si>
    <t>RWG</t>
  </si>
  <si>
    <t>RM4</t>
  </si>
  <si>
    <t>RM3</t>
  </si>
  <si>
    <t>RK9</t>
  </si>
  <si>
    <t>RGZ</t>
  </si>
  <si>
    <t>RGN</t>
  </si>
  <si>
    <t>RGT</t>
  </si>
  <si>
    <t>RVJ</t>
  </si>
  <si>
    <t>RVR</t>
  </si>
  <si>
    <t>RTP</t>
  </si>
  <si>
    <t>RAX</t>
  </si>
  <si>
    <t>Nottingham University Hospitals NHS Trust</t>
  </si>
  <si>
    <t>RX1</t>
  </si>
  <si>
    <t>SHA</t>
  </si>
  <si>
    <t>Q31</t>
  </si>
  <si>
    <t>Q34</t>
  </si>
  <si>
    <t>Q36</t>
  </si>
  <si>
    <t>Q39</t>
  </si>
  <si>
    <t>North East</t>
  </si>
  <si>
    <t>North West</t>
  </si>
  <si>
    <t>Yorkshire and the Humber</t>
  </si>
  <si>
    <t>East Midlands</t>
  </si>
  <si>
    <t>West Midlands</t>
  </si>
  <si>
    <t>East of England</t>
  </si>
  <si>
    <t>London</t>
  </si>
  <si>
    <t>South East Coast</t>
  </si>
  <si>
    <t>South Central</t>
  </si>
  <si>
    <t>South West</t>
  </si>
  <si>
    <t>-</t>
  </si>
  <si>
    <t>Aintree University Hospitals NHS Foundation Trust</t>
  </si>
  <si>
    <t>Basildon and Thurrock University Hospitals NHS Foundation Trust</t>
  </si>
  <si>
    <t>Brighton and Sussex University Hospitals NHS Trust</t>
  </si>
  <si>
    <t>Sandwell and West Birmingham Hospitals NHS Trust</t>
  </si>
  <si>
    <t>East Lancashire Hospitals NHS Trust</t>
  </si>
  <si>
    <t>Buckinghamshire Hospitals NHS Trust</t>
  </si>
  <si>
    <t>averages out to...</t>
  </si>
  <si>
    <t>Papworth Hospital NHS Foundation Trust</t>
  </si>
  <si>
    <t>Isle of Wight NHS Primary Care Trust</t>
  </si>
  <si>
    <t>TRUST CODE</t>
  </si>
  <si>
    <t>TRUST NAME</t>
  </si>
  <si>
    <t>Barts Health NHS Trust</t>
  </si>
  <si>
    <t>R1H</t>
  </si>
  <si>
    <t xml:space="preserve">Average range: </t>
  </si>
  <si>
    <t>R1F</t>
  </si>
  <si>
    <t>National score</t>
  </si>
  <si>
    <t>Midlands and East</t>
  </si>
  <si>
    <t>Responsiveness to inpatients’ personal needs
National patient experience indicator tool</t>
  </si>
  <si>
    <t xml:space="preserve">Background: </t>
  </si>
  <si>
    <t xml:space="preserve">     Were you as involved as you wanted to be in decisions about your care and treatment?
     Did you find someone on the hospital staff to talk to about worries and fears?
     Were you given enough privacy when discussing your condition or treatment?
     Did a member of staff tell you about medication side effects to watch for when you went home?
     Did hospital staff tell you who to contact if you were worried about your condition or treatment after you left hospital?</t>
  </si>
  <si>
    <r>
      <t xml:space="preserve">The score is used for </t>
    </r>
    <r>
      <rPr>
        <b/>
        <sz val="10"/>
        <rFont val="Arial"/>
        <family val="2"/>
      </rPr>
      <t>Indicator 4.2 of the NHS Outcomes Framework.</t>
    </r>
  </si>
  <si>
    <t>https://www.gov.uk/government/publications/nhs-outcomes-framework-2013-to-2014</t>
  </si>
  <si>
    <t xml:space="preserve">This tool supports local commissioners and providers in assessing achievement of their CQUIN goals for last year (2012/13). The tool presents older time-series data and comparisons within SHA clusters. </t>
  </si>
  <si>
    <t xml:space="preserve">Using the tool: </t>
  </si>
  <si>
    <t>The responsiveness to inpatients' personal needs score is calculated as the average of five survey questions taken from the inpatient survey (overseen by CQC):</t>
  </si>
  <si>
    <r>
      <t>Data are cleaned and standardised by age, gender and admiss</t>
    </r>
    <r>
      <rPr>
        <sz val="10"/>
        <rFont val="Arial"/>
        <family val="2"/>
      </rPr>
      <t xml:space="preserve">ion type. </t>
    </r>
  </si>
  <si>
    <t>This tool provides users with results of the five questions from the 2012 adult inpatient survey and the overall score for 'responsiveness to inpatients' personal needs'.</t>
  </si>
  <si>
    <t>Viewing your 2012 scores from CQC survey data</t>
  </si>
  <si>
    <t>Your overall 2012 score</t>
  </si>
  <si>
    <r>
      <t xml:space="preserve">2012 trust score:                                                        
</t>
    </r>
    <r>
      <rPr>
        <sz val="8"/>
        <rFont val="Arial"/>
        <family val="2"/>
      </rPr>
      <t>The trust score at the end of 2012/13 to be used for payments from the 2012/13 CQUIN scheme</t>
    </r>
  </si>
  <si>
    <r>
      <t xml:space="preserve">This data should enable you to assess </t>
    </r>
    <r>
      <rPr>
        <sz val="10"/>
        <rFont val="Arial"/>
        <family val="2"/>
      </rPr>
      <t>whether you have reached your 2012 CQUIN patient experience threshold.</t>
    </r>
  </si>
  <si>
    <t>SHA Cluster figures</t>
  </si>
  <si>
    <t>SHA Cluster figures sorted</t>
  </si>
  <si>
    <t>This table finds the scores for trusts within your SHA cluster</t>
  </si>
  <si>
    <t>This table sorts the scores within your SHA cluster in order of performance</t>
  </si>
  <si>
    <t>This table is used for the chart on data and trends sheet</t>
  </si>
  <si>
    <t>Count in SHA cluster</t>
  </si>
  <si>
    <t>SHA Cluster</t>
  </si>
  <si>
    <t>SHAC1</t>
  </si>
  <si>
    <t>SHAC4</t>
  </si>
  <si>
    <t>SHAC2</t>
  </si>
  <si>
    <t>SHAC3</t>
  </si>
  <si>
    <t>SHACmatch</t>
  </si>
  <si>
    <t>SHACchange</t>
  </si>
  <si>
    <t>Trust ID3</t>
  </si>
  <si>
    <t>SHACluster</t>
  </si>
  <si>
    <t>2012 Number</t>
  </si>
  <si>
    <t>Organisations in list last year who are not in 2012 (e.g. take overs, mergers, no data etc). Removed from list above so SHA counts/etc arent affected</t>
  </si>
  <si>
    <t>Check</t>
  </si>
  <si>
    <t>Cluster total</t>
  </si>
  <si>
    <t>Code for your score page vlookup</t>
  </si>
  <si>
    <t>Columns A to I provide a look up table of cluster type/SHA name/SHA cluster name</t>
  </si>
  <si>
    <t>Columns J to L are used to identify Trusts in the same SHA/SHA cluster</t>
  </si>
  <si>
    <t>Drop down list number</t>
  </si>
  <si>
    <t>Drop down list no</t>
  </si>
  <si>
    <t>2012 comments</t>
  </si>
  <si>
    <t>In 2012, Barts and The London NHS Trust merged with two other Trusts to form Barts Health NHS Trust</t>
  </si>
  <si>
    <t>In 2012, Whipps Cross University Hospital NHS Trust merged with two other Trusts to form Barts Health NHS Trust</t>
  </si>
  <si>
    <t>In 2012, Newham University Hospital merged with two other Trusts to form Barts Health NHS Trust</t>
  </si>
  <si>
    <t>In 2012 Whipps Cross University Hospital Trust, Newham University Hospital NHS Trust and Barts and the London Trust merged to form Barts Health NHS Trust</t>
  </si>
  <si>
    <t>In Jul 2012 York Hospitals NHS Trust took over Scarborough and North East Yorkshire Healthcare NHS Trust. Thus 2012 results are not comparable with earlier years.</t>
  </si>
  <si>
    <t xml:space="preserve">In Jul 2012 York Hospitals NHS Trust took over Scarborough and North East Yorkshire Healthcare NHS Trust. </t>
  </si>
  <si>
    <t>In Jan 2012 Basingstoke and North Hampshire NHS Foundation Trust took over Winchester and Eastleigh Healthcare NHS Trust.</t>
  </si>
  <si>
    <t>In Jan 2012 Basingstoke and North Hampshire NHS Foundation Trust took over Winchester and Eastleigh Healthcare NHS Trust. Thus 2012 results are not comparable with earlier years.</t>
  </si>
  <si>
    <t>Organisations in list last year who are not in 2012 (e.g. take overs, mergers, no data etc). Removed from list above so SHA counts/etc arent affected. Included at bottom so still in drop down for historic data</t>
  </si>
  <si>
    <t>http://webarchive.nationalarchives.gov.uk/*/http://www.dh.gov.uk/en/Publicationsandstatistics/Publications/PublicationsPolicyAndGuidance/DH_091443</t>
  </si>
  <si>
    <r>
      <t>CQUIN guidance</t>
    </r>
    <r>
      <rPr>
        <b/>
        <sz val="10"/>
        <color indexed="8"/>
        <rFont val="Arial"/>
        <family val="2"/>
      </rPr>
      <t>:</t>
    </r>
    <r>
      <rPr>
        <sz val="10"/>
        <color indexed="8"/>
        <rFont val="Arial"/>
        <family val="2"/>
      </rPr>
      <t xml:space="preserve"> The tool should be used in conjunction with published guidance on the CQUIN payment framework which gives details of the composition of the goal and further background:</t>
    </r>
  </si>
  <si>
    <r>
      <t xml:space="preserve">Acute provider </t>
    </r>
    <r>
      <rPr>
        <b/>
        <sz val="10"/>
        <rFont val="Arial"/>
        <family val="2"/>
      </rPr>
      <t>Commissioning for Quality and Innovation (CQUIN)</t>
    </r>
    <r>
      <rPr>
        <sz val="10"/>
        <rFont val="Arial"/>
        <family val="2"/>
      </rPr>
      <t xml:space="preserve"> payment framework schemes for </t>
    </r>
    <r>
      <rPr>
        <b/>
        <sz val="10"/>
        <rFont val="Arial"/>
        <family val="2"/>
      </rPr>
      <t xml:space="preserve">2012/13 </t>
    </r>
    <r>
      <rPr>
        <sz val="10"/>
        <rFont val="Arial"/>
        <family val="2"/>
      </rPr>
      <t>included the nationally defined indicator for patient experience that focused on responsiveness to the personal needs of patients. The indicator is based on the same five questions from the adult inpatient survey overseen by the CQC survey programme as previous years.</t>
    </r>
  </si>
  <si>
    <r>
      <rPr>
        <b/>
        <u val="single"/>
        <sz val="10"/>
        <color indexed="8"/>
        <rFont val="Arial"/>
        <family val="2"/>
      </rPr>
      <t>NHS Outcomes Framework:</t>
    </r>
    <r>
      <rPr>
        <b/>
        <sz val="10"/>
        <color indexed="8"/>
        <rFont val="Arial"/>
        <family val="2"/>
      </rPr>
      <t xml:space="preserve"> </t>
    </r>
    <r>
      <rPr>
        <sz val="10"/>
        <color indexed="8"/>
        <rFont val="Arial"/>
        <family val="2"/>
      </rPr>
      <t>This tool should be used in conjunction with published guidance on the NHS Outcomes Framework:</t>
    </r>
  </si>
  <si>
    <t xml:space="preserve">The process of setting CQUIN thresholds last year took account of sampling variation in the data, so in assessing last year's performance you should simply compare the number above with the thresholds agreed locally. There is no need to allow for sampling variation again. </t>
  </si>
  <si>
    <t>In Apr 2012 Central Manchester and Manchester Children's University Hospitals NHS Trust took over Trafford Healthcare NHS Trust. Thus 2012 results are not comparable with earlier years.</t>
  </si>
  <si>
    <t xml:space="preserve">In Apr 2012 Central Manchester and Manchester Children's University Hospitals NHS Trust took over Trafford Healthcare NHS Trust. </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</si>
</sst>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
    <numFmt numFmtId="166" formatCode="0.0"/>
    <numFmt numFmtId="167" formatCode="0.0000"/>
    <numFmt numFmtId="168" formatCode="0.000"/>
    <numFmt numFmtId="169" formatCode="#,##0.0"/>
    <numFmt numFmtId="170" formatCode="#,##0.000"/>
    <numFmt numFmtId="171" formatCode="&quot;£ &quot;#,##0;\-&quot;£ &quot;#,##0"/>
    <numFmt numFmtId="172" formatCode="&quot;£ &quot;#,##0;[Red]\-&quot;£ &quot;#,##0"/>
    <numFmt numFmtId="173" formatCode="&quot;£ &quot;#,##0.00;\-&quot;£ &quot;#,##0.00"/>
    <numFmt numFmtId="174" formatCode="&quot;£ &quot;#,##0.00;[Red]\-&quot;£ &quot;#,##0.00"/>
    <numFmt numFmtId="175" formatCode="_-&quot;£ &quot;* #,##0_-;\-&quot;£ &quot;* #,##0_-;_-&quot;£ &quot;* &quot;-&quot;_-;_-@_-"/>
    <numFmt numFmtId="176" formatCode="_-&quot;£ &quot;* #,##0.00_-;\-&quot;£ &quot;* #,##0.00_-;_-&quot;£ &quot;* &quot;-&quot;??_-;_-@_-"/>
    <numFmt numFmtId="177" formatCode="0.00000"/>
    <numFmt numFmtId="178" formatCode="&quot;Yes&quot;;&quot;Yes&quot;;&quot;No&quot;"/>
    <numFmt numFmtId="179" formatCode="&quot;True&quot;;&quot;True&quot;;&quot;False&quot;"/>
    <numFmt numFmtId="180" formatCode="&quot;On&quot;;&quot;On&quot;;&quot;Off&quot;"/>
    <numFmt numFmtId="181" formatCode="[$€-2]\ #,##0.00_);[Red]\([$€-2]\ #,##0.00\)"/>
    <numFmt numFmtId="182" formatCode="#,##0.0000"/>
    <numFmt numFmtId="183" formatCode="0.00;\-0.00;\-"/>
    <numFmt numFmtId="184" formatCode="0.0000000"/>
    <numFmt numFmtId="185" formatCode="0.000000"/>
    <numFmt numFmtId="186" formatCode="0.00000000"/>
  </numFmts>
  <fonts count="82">
    <font>
      <sz val="10"/>
      <name val="Arial"/>
      <family val="0"/>
    </font>
    <font>
      <b/>
      <sz val="18"/>
      <name val="Arial"/>
      <family val="2"/>
    </font>
    <font>
      <b/>
      <sz val="20"/>
      <name val="Arial"/>
      <family val="2"/>
    </font>
    <font>
      <b/>
      <sz val="10"/>
      <name val="Arial"/>
      <family val="2"/>
    </font>
    <font>
      <b/>
      <sz val="14"/>
      <name val="Arial"/>
      <family val="2"/>
    </font>
    <font>
      <sz val="8"/>
      <name val="Arial"/>
      <family val="2"/>
    </font>
    <font>
      <u val="single"/>
      <sz val="10"/>
      <color indexed="12"/>
      <name val="Arial"/>
      <family val="2"/>
    </font>
    <font>
      <u val="single"/>
      <sz val="10"/>
      <color indexed="36"/>
      <name val="Arial"/>
      <family val="2"/>
    </font>
    <font>
      <b/>
      <sz val="10"/>
      <color indexed="8"/>
      <name val="Arial"/>
      <family val="2"/>
    </font>
    <font>
      <b/>
      <sz val="8"/>
      <name val="Arial"/>
      <family val="2"/>
    </font>
    <font>
      <sz val="10"/>
      <color indexed="10"/>
      <name val="Arial"/>
      <family val="2"/>
    </font>
    <font>
      <i/>
      <sz val="10"/>
      <name val="Arial"/>
      <family val="2"/>
    </font>
    <font>
      <sz val="10"/>
      <color indexed="9"/>
      <name val="Arial"/>
      <family val="2"/>
    </font>
    <font>
      <b/>
      <sz val="10"/>
      <color indexed="10"/>
      <name val="Arial"/>
      <family val="2"/>
    </font>
    <font>
      <b/>
      <sz val="12"/>
      <name val="Arial"/>
      <family val="2"/>
    </font>
    <font>
      <b/>
      <i/>
      <sz val="10"/>
      <name val="Arial"/>
      <family val="2"/>
    </font>
    <font>
      <b/>
      <sz val="18"/>
      <color indexed="10"/>
      <name val="Arial"/>
      <family val="2"/>
    </font>
    <font>
      <b/>
      <sz val="20"/>
      <color indexed="10"/>
      <name val="Arial"/>
      <family val="2"/>
    </font>
    <font>
      <sz val="10"/>
      <color indexed="8"/>
      <name val="Arial"/>
      <family val="2"/>
    </font>
    <font>
      <u val="single"/>
      <sz val="10"/>
      <name val="Arial"/>
      <family val="2"/>
    </font>
    <font>
      <b/>
      <u val="single"/>
      <sz val="10"/>
      <name val="Arial"/>
      <family val="2"/>
    </font>
    <font>
      <b/>
      <u val="single"/>
      <sz val="10"/>
      <color indexed="8"/>
      <name val="Arial"/>
      <family val="2"/>
    </font>
    <font>
      <b/>
      <sz val="14"/>
      <color indexed="10"/>
      <name val="Arial"/>
      <family val="2"/>
    </font>
    <font>
      <sz val="9"/>
      <name val="Arial"/>
      <family val="2"/>
    </font>
    <font>
      <sz val="14"/>
      <name val="Arial"/>
      <family val="2"/>
    </font>
    <font>
      <sz val="7"/>
      <name val="Arial"/>
      <family val="2"/>
    </font>
    <font>
      <strike/>
      <sz val="10"/>
      <name val="Arial"/>
      <family val="2"/>
    </font>
    <font>
      <sz val="8"/>
      <name val="Tahoma"/>
      <family val="2"/>
    </font>
    <font>
      <b/>
      <sz val="8"/>
      <name val="Tahoma"/>
      <family val="2"/>
    </font>
    <font>
      <sz val="12"/>
      <name val="Tahoma"/>
      <family val="2"/>
    </font>
    <font>
      <sz val="11"/>
      <name val="Tahoma"/>
      <family val="2"/>
    </font>
    <font>
      <i/>
      <sz val="8"/>
      <name val="Arial"/>
      <family val="2"/>
    </font>
    <font>
      <sz val="1.5"/>
      <color indexed="8"/>
      <name val="Arial"/>
      <family val="0"/>
    </font>
    <font>
      <sz val="1.2"/>
      <color indexed="8"/>
      <name val="Arial"/>
      <family val="0"/>
    </font>
    <font>
      <sz val="1.75"/>
      <color indexed="8"/>
      <name val="Arial"/>
      <family val="0"/>
    </font>
    <font>
      <sz val="1.45"/>
      <color indexed="8"/>
      <name val="Arial"/>
      <family val="0"/>
    </font>
    <font>
      <sz val="8"/>
      <color indexed="8"/>
      <name val="Arial"/>
      <family val="0"/>
    </font>
    <font>
      <sz val="6.75"/>
      <color indexed="8"/>
      <name val="Arial"/>
      <family val="0"/>
    </font>
    <font>
      <sz val="10"/>
      <color indexed="40"/>
      <name val="Arial"/>
      <family val="2"/>
    </font>
    <font>
      <sz val="10"/>
      <color indexed="55"/>
      <name val="Arial"/>
      <family val="2"/>
    </font>
    <font>
      <sz val="10"/>
      <color indexed="12"/>
      <name val="Arial"/>
      <family val="2"/>
    </font>
    <font>
      <sz val="12"/>
      <color indexed="8"/>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b/>
      <sz val="18"/>
      <color indexed="56"/>
      <name val="Cambria"/>
      <family val="2"/>
    </font>
    <font>
      <b/>
      <sz val="12"/>
      <color indexed="8"/>
      <name val="Arial"/>
      <family val="2"/>
    </font>
    <font>
      <sz val="12"/>
      <color indexed="10"/>
      <name val="Arial"/>
      <family val="2"/>
    </font>
    <font>
      <b/>
      <sz val="1.75"/>
      <color indexed="8"/>
      <name val="Arial"/>
      <family val="0"/>
    </font>
    <font>
      <b/>
      <sz val="1.5"/>
      <color indexed="8"/>
      <name val="Arial"/>
      <family val="0"/>
    </font>
    <font>
      <b/>
      <sz val="1"/>
      <color indexed="8"/>
      <name val="Arial"/>
      <family val="0"/>
    </font>
    <font>
      <b/>
      <sz val="2.25"/>
      <color indexed="8"/>
      <name val="Arial"/>
      <family val="0"/>
    </font>
    <font>
      <b/>
      <sz val="8"/>
      <color indexed="8"/>
      <name val="Arial"/>
      <family val="0"/>
    </font>
    <font>
      <b/>
      <sz val="9.25"/>
      <color indexed="8"/>
      <name val="Arial"/>
      <family val="0"/>
    </font>
    <font>
      <b/>
      <sz val="9"/>
      <color indexed="8"/>
      <name val="Arial"/>
      <family val="0"/>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41"/>
        <bgColor indexed="64"/>
      </patternFill>
    </fill>
    <fill>
      <patternFill patternType="solid">
        <fgColor indexed="22"/>
        <bgColor indexed="64"/>
      </patternFill>
    </fill>
    <fill>
      <patternFill patternType="solid">
        <fgColor indexed="13"/>
        <bgColor indexed="64"/>
      </patternFill>
    </fill>
    <fill>
      <patternFill patternType="solid">
        <fgColor indexed="55"/>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style="medium"/>
      <top>
        <color indexed="63"/>
      </top>
      <bottom>
        <color indexed="63"/>
      </bottom>
    </border>
    <border>
      <left style="thin"/>
      <right>
        <color indexed="63"/>
      </right>
      <top style="thin"/>
      <bottom style="thin"/>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color indexed="63"/>
      </top>
      <bottom>
        <color indexed="63"/>
      </bottom>
    </border>
    <border>
      <left>
        <color indexed="63"/>
      </left>
      <right style="thin"/>
      <top style="thin"/>
      <bottom>
        <color indexed="63"/>
      </bottom>
    </border>
    <border>
      <left style="thin"/>
      <right style="thin"/>
      <top>
        <color indexed="63"/>
      </top>
      <bottom style="thin"/>
    </border>
    <border>
      <left style="medium"/>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7" fillId="26" borderId="0" applyNumberFormat="0" applyBorder="0" applyAlignment="0" applyProtection="0"/>
    <xf numFmtId="0" fontId="68" fillId="27" borderId="1" applyNumberFormat="0" applyAlignment="0" applyProtection="0"/>
    <xf numFmtId="0" fontId="6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0" fillId="0" borderId="0" applyNumberFormat="0" applyFill="0" applyBorder="0" applyAlignment="0" applyProtection="0"/>
    <xf numFmtId="0" fontId="7" fillId="0" borderId="0" applyNumberFormat="0" applyFill="0" applyBorder="0" applyAlignment="0" applyProtection="0"/>
    <xf numFmtId="0" fontId="71" fillId="29" borderId="0" applyNumberFormat="0" applyBorder="0" applyAlignment="0" applyProtection="0"/>
    <xf numFmtId="0" fontId="72" fillId="0" borderId="3" applyNumberFormat="0" applyFill="0" applyAlignment="0" applyProtection="0"/>
    <xf numFmtId="0" fontId="73" fillId="0" borderId="4" applyNumberFormat="0" applyFill="0" applyAlignment="0" applyProtection="0"/>
    <xf numFmtId="0" fontId="74" fillId="0" borderId="5" applyNumberFormat="0" applyFill="0" applyAlignment="0" applyProtection="0"/>
    <xf numFmtId="0" fontId="74" fillId="0" borderId="0" applyNumberFormat="0" applyFill="0" applyBorder="0" applyAlignment="0" applyProtection="0"/>
    <xf numFmtId="0" fontId="6" fillId="0" borderId="0" applyNumberFormat="0" applyFill="0" applyBorder="0" applyAlignment="0" applyProtection="0"/>
    <xf numFmtId="0" fontId="75" fillId="30" borderId="1" applyNumberFormat="0" applyAlignment="0" applyProtection="0"/>
    <xf numFmtId="0" fontId="76" fillId="0" borderId="6" applyNumberFormat="0" applyFill="0" applyAlignment="0" applyProtection="0"/>
    <xf numFmtId="0" fontId="77" fillId="31" borderId="0" applyNumberFormat="0" applyBorder="0" applyAlignment="0" applyProtection="0"/>
    <xf numFmtId="0" fontId="0" fillId="0" borderId="0">
      <alignment/>
      <protection/>
    </xf>
    <xf numFmtId="0" fontId="65" fillId="0" borderId="0">
      <alignment/>
      <protection/>
    </xf>
    <xf numFmtId="0" fontId="0" fillId="32" borderId="7" applyNumberFormat="0" applyFont="0" applyAlignment="0" applyProtection="0"/>
    <xf numFmtId="0" fontId="78"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79" fillId="0" borderId="0" applyNumberFormat="0" applyFill="0" applyBorder="0" applyAlignment="0" applyProtection="0"/>
    <xf numFmtId="0" fontId="80" fillId="0" borderId="9" applyNumberFormat="0" applyFill="0" applyAlignment="0" applyProtection="0"/>
    <xf numFmtId="0" fontId="81" fillId="0" borderId="0" applyNumberFormat="0" applyFill="0" applyBorder="0" applyAlignment="0" applyProtection="0"/>
  </cellStyleXfs>
  <cellXfs count="267">
    <xf numFmtId="0" fontId="0" fillId="0" borderId="0" xfId="0" applyAlignment="1">
      <alignment/>
    </xf>
    <xf numFmtId="0" fontId="0" fillId="0" borderId="0" xfId="0" applyFill="1" applyBorder="1" applyAlignment="1">
      <alignment/>
    </xf>
    <xf numFmtId="0" fontId="0" fillId="0" borderId="0" xfId="0" applyFill="1" applyAlignment="1">
      <alignment/>
    </xf>
    <xf numFmtId="0" fontId="0" fillId="0" borderId="10" xfId="0" applyBorder="1" applyAlignment="1">
      <alignment/>
    </xf>
    <xf numFmtId="0" fontId="0" fillId="0" borderId="0" xfId="0" applyBorder="1" applyAlignment="1">
      <alignment/>
    </xf>
    <xf numFmtId="1" fontId="0" fillId="0" borderId="0" xfId="61" applyNumberFormat="1" applyFont="1" applyFill="1" applyBorder="1" applyAlignment="1">
      <alignment horizontal="center"/>
    </xf>
    <xf numFmtId="166" fontId="3" fillId="0" borderId="0" xfId="61" applyNumberFormat="1" applyFont="1" applyFill="1" applyBorder="1" applyAlignment="1">
      <alignment horizontal="center"/>
    </xf>
    <xf numFmtId="166" fontId="0" fillId="0" borderId="0" xfId="0" applyNumberFormat="1" applyBorder="1" applyAlignment="1">
      <alignment/>
    </xf>
    <xf numFmtId="0" fontId="0" fillId="0" borderId="0" xfId="0" applyFill="1" applyAlignment="1">
      <alignment horizontal="left"/>
    </xf>
    <xf numFmtId="2" fontId="0" fillId="0" borderId="0" xfId="0" applyNumberFormat="1" applyFill="1" applyAlignment="1">
      <alignment/>
    </xf>
    <xf numFmtId="2" fontId="0" fillId="0" borderId="0" xfId="0" applyNumberFormat="1" applyFill="1" applyAlignment="1" quotePrefix="1">
      <alignment/>
    </xf>
    <xf numFmtId="0" fontId="0" fillId="0" borderId="0" xfId="0" applyFill="1" applyAlignment="1" quotePrefix="1">
      <alignment/>
    </xf>
    <xf numFmtId="0" fontId="10" fillId="0" borderId="0" xfId="0" applyFont="1" applyFill="1" applyAlignment="1">
      <alignment/>
    </xf>
    <xf numFmtId="0" fontId="0" fillId="0" borderId="0" xfId="0" applyFill="1" applyAlignment="1">
      <alignment horizontal="right"/>
    </xf>
    <xf numFmtId="0" fontId="9" fillId="0" borderId="0" xfId="0" applyFont="1" applyFill="1" applyBorder="1" applyAlignment="1">
      <alignment/>
    </xf>
    <xf numFmtId="166" fontId="3" fillId="0" borderId="0" xfId="0" applyNumberFormat="1" applyFont="1" applyFill="1" applyBorder="1" applyAlignment="1">
      <alignment horizontal="right"/>
    </xf>
    <xf numFmtId="166" fontId="0" fillId="0" borderId="0" xfId="0" applyNumberFormat="1" applyFont="1" applyFill="1" applyBorder="1" applyAlignment="1">
      <alignment horizontal="center" vertical="center"/>
    </xf>
    <xf numFmtId="0" fontId="0" fillId="0" borderId="0" xfId="0" applyBorder="1" applyAlignment="1">
      <alignment wrapText="1"/>
    </xf>
    <xf numFmtId="0" fontId="3" fillId="0" borderId="0" xfId="0" applyFont="1" applyBorder="1" applyAlignment="1">
      <alignment/>
    </xf>
    <xf numFmtId="0" fontId="0" fillId="0" borderId="0" xfId="0" applyBorder="1" applyAlignment="1">
      <alignment vertical="center"/>
    </xf>
    <xf numFmtId="0" fontId="0" fillId="33" borderId="0" xfId="0" applyFill="1" applyBorder="1" applyAlignment="1">
      <alignment/>
    </xf>
    <xf numFmtId="0" fontId="11" fillId="33" borderId="0" xfId="0" applyFont="1" applyFill="1" applyBorder="1" applyAlignment="1">
      <alignment/>
    </xf>
    <xf numFmtId="166" fontId="0" fillId="33" borderId="0" xfId="0" applyNumberFormat="1" applyFill="1" applyBorder="1" applyAlignment="1">
      <alignment/>
    </xf>
    <xf numFmtId="0" fontId="0" fillId="0" borderId="10" xfId="0" applyFill="1" applyBorder="1" applyAlignment="1">
      <alignment/>
    </xf>
    <xf numFmtId="0" fontId="0" fillId="0" borderId="10" xfId="0" applyBorder="1" applyAlignment="1">
      <alignment horizontal="center"/>
    </xf>
    <xf numFmtId="0" fontId="10" fillId="33" borderId="0" xfId="0" applyFont="1" applyFill="1" applyBorder="1" applyAlignment="1">
      <alignment horizontal="right" wrapText="1"/>
    </xf>
    <xf numFmtId="0" fontId="0" fillId="0" borderId="0" xfId="0" applyAlignment="1">
      <alignment horizontal="center"/>
    </xf>
    <xf numFmtId="0" fontId="0" fillId="0" borderId="11" xfId="0" applyBorder="1" applyAlignment="1">
      <alignment/>
    </xf>
    <xf numFmtId="0" fontId="12" fillId="0" borderId="11"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33" borderId="13" xfId="0" applyFill="1" applyBorder="1" applyAlignment="1">
      <alignment/>
    </xf>
    <xf numFmtId="0" fontId="0" fillId="0" borderId="0" xfId="0" applyBorder="1" applyAlignment="1">
      <alignment vertical="center" wrapText="1"/>
    </xf>
    <xf numFmtId="0" fontId="0" fillId="33" borderId="0" xfId="0" applyFill="1" applyAlignment="1">
      <alignment/>
    </xf>
    <xf numFmtId="0" fontId="0" fillId="33" borderId="16" xfId="0" applyFill="1" applyBorder="1" applyAlignment="1">
      <alignment/>
    </xf>
    <xf numFmtId="0" fontId="0" fillId="33" borderId="17" xfId="0" applyFill="1" applyBorder="1" applyAlignment="1">
      <alignment/>
    </xf>
    <xf numFmtId="0" fontId="0" fillId="33" borderId="11" xfId="0" applyFill="1" applyBorder="1" applyAlignment="1">
      <alignment/>
    </xf>
    <xf numFmtId="0" fontId="0" fillId="33" borderId="14" xfId="0" applyFill="1" applyBorder="1" applyAlignment="1">
      <alignment/>
    </xf>
    <xf numFmtId="0" fontId="0" fillId="33" borderId="12" xfId="0" applyFill="1" applyBorder="1" applyAlignment="1">
      <alignment/>
    </xf>
    <xf numFmtId="0" fontId="0" fillId="33" borderId="0" xfId="0" applyFill="1" applyBorder="1" applyAlignment="1">
      <alignment horizontal="center"/>
    </xf>
    <xf numFmtId="0" fontId="0" fillId="33" borderId="10" xfId="0" applyFill="1" applyBorder="1" applyAlignment="1">
      <alignment/>
    </xf>
    <xf numFmtId="0" fontId="0" fillId="33" borderId="10" xfId="0" applyFill="1" applyBorder="1" applyAlignment="1">
      <alignment horizontal="center"/>
    </xf>
    <xf numFmtId="0" fontId="0" fillId="33" borderId="10" xfId="0" applyFont="1" applyFill="1" applyBorder="1" applyAlignment="1">
      <alignment horizontal="center"/>
    </xf>
    <xf numFmtId="166" fontId="0" fillId="34" borderId="10" xfId="0" applyNumberFormat="1" applyFill="1" applyBorder="1" applyAlignment="1">
      <alignment horizontal="center"/>
    </xf>
    <xf numFmtId="166" fontId="3" fillId="34" borderId="10" xfId="0" applyNumberFormat="1" applyFont="1" applyFill="1" applyBorder="1" applyAlignment="1">
      <alignment horizontal="center"/>
    </xf>
    <xf numFmtId="0" fontId="20" fillId="0" borderId="0" xfId="0" applyFont="1" applyBorder="1" applyAlignment="1">
      <alignment/>
    </xf>
    <xf numFmtId="0" fontId="3" fillId="0" borderId="10" xfId="0" applyFont="1" applyBorder="1" applyAlignment="1">
      <alignment horizontal="center"/>
    </xf>
    <xf numFmtId="0" fontId="0" fillId="0" borderId="18" xfId="0" applyBorder="1" applyAlignment="1">
      <alignment/>
    </xf>
    <xf numFmtId="0" fontId="0" fillId="0" borderId="10" xfId="0" applyFill="1" applyBorder="1" applyAlignment="1">
      <alignment horizontal="center"/>
    </xf>
    <xf numFmtId="166" fontId="3" fillId="0" borderId="10" xfId="0" applyNumberFormat="1" applyFont="1" applyBorder="1" applyAlignment="1">
      <alignment horizontal="center"/>
    </xf>
    <xf numFmtId="166" fontId="0" fillId="0" borderId="10" xfId="0" applyNumberFormat="1" applyBorder="1" applyAlignment="1">
      <alignment horizontal="center"/>
    </xf>
    <xf numFmtId="0" fontId="0" fillId="0" borderId="0" xfId="0" applyAlignment="1">
      <alignment vertical="center"/>
    </xf>
    <xf numFmtId="0" fontId="0" fillId="0" borderId="0" xfId="0" applyAlignment="1">
      <alignment horizontal="center" vertical="center"/>
    </xf>
    <xf numFmtId="166" fontId="0" fillId="0" borderId="0" xfId="0" applyNumberFormat="1" applyAlignment="1">
      <alignment horizontal="center" vertical="center"/>
    </xf>
    <xf numFmtId="0" fontId="19" fillId="0" borderId="0" xfId="0" applyFont="1" applyAlignment="1">
      <alignment vertical="center"/>
    </xf>
    <xf numFmtId="0" fontId="0" fillId="0" borderId="0" xfId="0" applyNumberFormat="1" applyBorder="1" applyAlignment="1">
      <alignment/>
    </xf>
    <xf numFmtId="0" fontId="0" fillId="33" borderId="0" xfId="0" applyFill="1" applyAlignment="1">
      <alignment horizontal="center"/>
    </xf>
    <xf numFmtId="166" fontId="0" fillId="33" borderId="10" xfId="0" applyNumberFormat="1" applyFill="1" applyBorder="1" applyAlignment="1">
      <alignment horizontal="center"/>
    </xf>
    <xf numFmtId="0" fontId="20" fillId="0" borderId="0" xfId="0" applyFont="1" applyFill="1" applyAlignment="1">
      <alignment/>
    </xf>
    <xf numFmtId="166" fontId="0" fillId="0" borderId="10" xfId="0" applyNumberFormat="1" applyFill="1" applyBorder="1" applyAlignment="1">
      <alignment horizontal="center"/>
    </xf>
    <xf numFmtId="0" fontId="0" fillId="0" borderId="0" xfId="0" applyFill="1" applyBorder="1" applyAlignment="1">
      <alignment horizontal="center"/>
    </xf>
    <xf numFmtId="2" fontId="0" fillId="0" borderId="10" xfId="0" applyNumberFormat="1" applyFill="1" applyBorder="1" applyAlignment="1">
      <alignment horizontal="center"/>
    </xf>
    <xf numFmtId="2" fontId="0" fillId="0" borderId="10" xfId="0" applyNumberFormat="1" applyBorder="1" applyAlignment="1">
      <alignment horizontal="center"/>
    </xf>
    <xf numFmtId="2" fontId="0" fillId="0" borderId="10" xfId="0" applyNumberFormat="1" applyFill="1" applyBorder="1" applyAlignment="1" quotePrefix="1">
      <alignment horizontal="center"/>
    </xf>
    <xf numFmtId="0" fontId="0" fillId="34" borderId="10" xfId="0" applyFill="1" applyBorder="1" applyAlignment="1">
      <alignment horizontal="center"/>
    </xf>
    <xf numFmtId="0" fontId="0" fillId="34" borderId="18" xfId="0" applyFill="1" applyBorder="1" applyAlignment="1">
      <alignment horizontal="center"/>
    </xf>
    <xf numFmtId="0" fontId="0" fillId="0" borderId="10" xfId="0" applyFill="1" applyBorder="1" applyAlignment="1" quotePrefix="1">
      <alignment horizontal="center"/>
    </xf>
    <xf numFmtId="0" fontId="3" fillId="34" borderId="10" xfId="0" applyFont="1" applyFill="1" applyBorder="1" applyAlignment="1">
      <alignment horizontal="center" vertical="center"/>
    </xf>
    <xf numFmtId="0" fontId="14" fillId="0" borderId="19" xfId="0" applyFont="1" applyBorder="1" applyAlignment="1">
      <alignment vertical="top" wrapText="1"/>
    </xf>
    <xf numFmtId="0" fontId="0" fillId="33" borderId="10" xfId="0" applyFill="1" applyBorder="1" applyAlignment="1">
      <alignment horizontal="left"/>
    </xf>
    <xf numFmtId="166" fontId="0" fillId="34" borderId="10" xfId="0" applyNumberFormat="1" applyFont="1" applyFill="1" applyBorder="1" applyAlignment="1">
      <alignment horizontal="center"/>
    </xf>
    <xf numFmtId="0" fontId="3" fillId="34" borderId="10" xfId="0" applyFont="1" applyFill="1" applyBorder="1" applyAlignment="1">
      <alignment vertical="center"/>
    </xf>
    <xf numFmtId="0" fontId="3" fillId="35" borderId="10" xfId="0" applyFont="1" applyFill="1" applyBorder="1" applyAlignment="1">
      <alignment horizontal="center"/>
    </xf>
    <xf numFmtId="0" fontId="3" fillId="35" borderId="20" xfId="0" applyFont="1" applyFill="1" applyBorder="1" applyAlignment="1">
      <alignment horizontal="center"/>
    </xf>
    <xf numFmtId="0" fontId="0" fillId="34" borderId="10" xfId="0" applyFont="1" applyFill="1" applyBorder="1" applyAlignment="1">
      <alignment/>
    </xf>
    <xf numFmtId="0" fontId="0" fillId="34" borderId="10" xfId="0" applyFont="1" applyFill="1" applyBorder="1" applyAlignment="1">
      <alignment horizontal="center"/>
    </xf>
    <xf numFmtId="0" fontId="3" fillId="33" borderId="14" xfId="0" applyFont="1" applyFill="1" applyBorder="1" applyAlignment="1">
      <alignment/>
    </xf>
    <xf numFmtId="166" fontId="0" fillId="33" borderId="14" xfId="0" applyNumberFormat="1" applyFill="1" applyBorder="1" applyAlignment="1">
      <alignment/>
    </xf>
    <xf numFmtId="0" fontId="11" fillId="33" borderId="14" xfId="0" applyFont="1" applyFill="1" applyBorder="1" applyAlignment="1">
      <alignment vertical="center" wrapText="1"/>
    </xf>
    <xf numFmtId="0" fontId="23" fillId="0" borderId="0" xfId="0" applyFont="1" applyBorder="1" applyAlignment="1">
      <alignment wrapText="1"/>
    </xf>
    <xf numFmtId="0" fontId="19" fillId="0" borderId="0" xfId="0" applyFont="1" applyBorder="1" applyAlignment="1">
      <alignment/>
    </xf>
    <xf numFmtId="0" fontId="14" fillId="0" borderId="0" xfId="0" applyFont="1" applyBorder="1" applyAlignment="1">
      <alignment/>
    </xf>
    <xf numFmtId="0" fontId="0" fillId="0" borderId="0" xfId="0" applyBorder="1" applyAlignment="1">
      <alignment horizontal="left" vertical="center" wrapText="1"/>
    </xf>
    <xf numFmtId="0" fontId="15" fillId="0" borderId="0" xfId="0" applyFont="1" applyBorder="1" applyAlignment="1">
      <alignment vertical="center"/>
    </xf>
    <xf numFmtId="2" fontId="0" fillId="0" borderId="0" xfId="0" applyNumberFormat="1" applyFill="1" applyBorder="1" applyAlignment="1">
      <alignment horizontal="center"/>
    </xf>
    <xf numFmtId="0" fontId="0" fillId="34" borderId="10" xfId="0" applyFill="1" applyBorder="1" applyAlignment="1">
      <alignment/>
    </xf>
    <xf numFmtId="1" fontId="3" fillId="0" borderId="0" xfId="61" applyNumberFormat="1" applyFont="1" applyFill="1" applyBorder="1" applyAlignment="1">
      <alignment/>
    </xf>
    <xf numFmtId="166" fontId="22" fillId="0" borderId="0" xfId="61" applyNumberFormat="1" applyFont="1" applyFill="1" applyBorder="1" applyAlignment="1">
      <alignment vertical="center" wrapText="1"/>
    </xf>
    <xf numFmtId="0" fontId="14" fillId="33" borderId="0" xfId="0" applyFont="1" applyFill="1" applyBorder="1" applyAlignment="1">
      <alignment/>
    </xf>
    <xf numFmtId="0" fontId="0" fillId="0" borderId="21" xfId="0" applyFill="1" applyBorder="1" applyAlignment="1">
      <alignment horizontal="center"/>
    </xf>
    <xf numFmtId="0" fontId="0" fillId="35" borderId="20" xfId="0" applyFill="1" applyBorder="1" applyAlignment="1">
      <alignment horizontal="center"/>
    </xf>
    <xf numFmtId="2" fontId="0" fillId="33" borderId="0" xfId="0" applyNumberFormat="1" applyFill="1" applyAlignment="1">
      <alignment/>
    </xf>
    <xf numFmtId="0" fontId="26" fillId="33" borderId="0" xfId="0" applyFont="1" applyFill="1" applyBorder="1" applyAlignment="1">
      <alignment vertical="center" wrapText="1"/>
    </xf>
    <xf numFmtId="0" fontId="24" fillId="0" borderId="0" xfId="0" applyFont="1" applyBorder="1" applyAlignment="1">
      <alignment horizontal="right"/>
    </xf>
    <xf numFmtId="0" fontId="0" fillId="36" borderId="22" xfId="0" applyFill="1" applyBorder="1" applyAlignment="1">
      <alignment/>
    </xf>
    <xf numFmtId="0" fontId="0" fillId="36" borderId="23" xfId="0" applyFill="1" applyBorder="1" applyAlignment="1">
      <alignment/>
    </xf>
    <xf numFmtId="0" fontId="0" fillId="36" borderId="24" xfId="0" applyFill="1" applyBorder="1" applyAlignment="1">
      <alignment/>
    </xf>
    <xf numFmtId="0" fontId="24" fillId="36" borderId="25" xfId="0" applyFont="1" applyFill="1" applyBorder="1" applyAlignment="1">
      <alignment horizontal="center" vertical="center"/>
    </xf>
    <xf numFmtId="0" fontId="0" fillId="36" borderId="26" xfId="0" applyFont="1" applyFill="1" applyBorder="1" applyAlignment="1">
      <alignment horizontal="center" vertical="center"/>
    </xf>
    <xf numFmtId="0" fontId="0" fillId="36" borderId="27" xfId="0" applyFont="1" applyFill="1" applyBorder="1" applyAlignment="1">
      <alignment horizontal="center" vertical="center"/>
    </xf>
    <xf numFmtId="0" fontId="24" fillId="36" borderId="28" xfId="0" applyFont="1" applyFill="1" applyBorder="1" applyAlignment="1">
      <alignment horizontal="center" vertical="center"/>
    </xf>
    <xf numFmtId="2" fontId="0" fillId="37" borderId="10" xfId="0" applyNumberFormat="1" applyFill="1" applyBorder="1" applyAlignment="1">
      <alignment horizontal="center"/>
    </xf>
    <xf numFmtId="2" fontId="3" fillId="37" borderId="10" xfId="0" applyNumberFormat="1" applyFont="1" applyFill="1" applyBorder="1" applyAlignment="1">
      <alignment horizontal="center"/>
    </xf>
    <xf numFmtId="2" fontId="0" fillId="33" borderId="10" xfId="0" applyNumberFormat="1" applyFont="1" applyFill="1" applyBorder="1" applyAlignment="1">
      <alignment horizontal="center"/>
    </xf>
    <xf numFmtId="2" fontId="0" fillId="33" borderId="10" xfId="0" applyNumberFormat="1" applyFill="1" applyBorder="1" applyAlignment="1">
      <alignment horizontal="center"/>
    </xf>
    <xf numFmtId="0" fontId="0" fillId="0" borderId="20" xfId="0" applyFill="1" applyBorder="1" applyAlignment="1">
      <alignment horizontal="center"/>
    </xf>
    <xf numFmtId="0" fontId="0" fillId="0" borderId="29" xfId="0" applyFill="1" applyBorder="1" applyAlignment="1">
      <alignment horizontal="center"/>
    </xf>
    <xf numFmtId="0" fontId="10" fillId="0" borderId="29" xfId="0" applyFont="1" applyFill="1" applyBorder="1" applyAlignment="1">
      <alignment horizontal="center"/>
    </xf>
    <xf numFmtId="2" fontId="0" fillId="0" borderId="0" xfId="0" applyNumberFormat="1" applyFill="1" applyBorder="1" applyAlignment="1">
      <alignment/>
    </xf>
    <xf numFmtId="0" fontId="0" fillId="0" borderId="0" xfId="0" applyFont="1" applyFill="1" applyBorder="1" applyAlignment="1">
      <alignment horizontal="center"/>
    </xf>
    <xf numFmtId="0" fontId="3" fillId="0" borderId="0" xfId="0" applyFont="1" applyFill="1" applyBorder="1" applyAlignment="1">
      <alignment horizontal="center"/>
    </xf>
    <xf numFmtId="166" fontId="23" fillId="0" borderId="0" xfId="0" applyNumberFormat="1" applyFont="1" applyBorder="1" applyAlignment="1">
      <alignment wrapText="1"/>
    </xf>
    <xf numFmtId="166" fontId="0" fillId="0" borderId="0" xfId="0" applyNumberFormat="1" applyAlignment="1">
      <alignment/>
    </xf>
    <xf numFmtId="0" fontId="11" fillId="33" borderId="11" xfId="0" applyFont="1" applyFill="1" applyBorder="1" applyAlignment="1">
      <alignment/>
    </xf>
    <xf numFmtId="1" fontId="0" fillId="0" borderId="14" xfId="61" applyNumberFormat="1" applyFont="1" applyFill="1" applyBorder="1" applyAlignment="1">
      <alignment horizontal="center"/>
    </xf>
    <xf numFmtId="166" fontId="4" fillId="0" borderId="14" xfId="61" applyNumberFormat="1" applyFont="1" applyFill="1" applyBorder="1" applyAlignment="1">
      <alignment horizontal="center" vertical="center" wrapText="1"/>
    </xf>
    <xf numFmtId="0" fontId="0" fillId="0" borderId="11" xfId="0" applyFill="1" applyBorder="1" applyAlignment="1">
      <alignment horizontal="center" vertical="center" wrapText="1"/>
    </xf>
    <xf numFmtId="0" fontId="26" fillId="33" borderId="11" xfId="0" applyFont="1" applyFill="1" applyBorder="1" applyAlignment="1">
      <alignment vertical="center" wrapText="1"/>
    </xf>
    <xf numFmtId="0" fontId="10" fillId="33" borderId="0" xfId="57" applyFont="1" applyFill="1" applyBorder="1">
      <alignment/>
      <protection/>
    </xf>
    <xf numFmtId="0" fontId="10" fillId="33" borderId="0" xfId="57" applyFont="1" applyFill="1" applyBorder="1" applyAlignment="1">
      <alignment/>
      <protection/>
    </xf>
    <xf numFmtId="0" fontId="10" fillId="33" borderId="16" xfId="57" applyFont="1" applyFill="1" applyBorder="1" applyAlignment="1">
      <alignment/>
      <protection/>
    </xf>
    <xf numFmtId="0" fontId="10" fillId="33" borderId="17" xfId="57" applyFont="1" applyFill="1" applyBorder="1" applyAlignment="1">
      <alignment/>
      <protection/>
    </xf>
    <xf numFmtId="0" fontId="4" fillId="33" borderId="17" xfId="57" applyFont="1" applyFill="1" applyBorder="1" applyAlignment="1">
      <alignment horizontal="center" vertical="center" wrapText="1"/>
      <protection/>
    </xf>
    <xf numFmtId="0" fontId="16" fillId="33" borderId="17" xfId="57" applyFont="1" applyFill="1" applyBorder="1" applyAlignment="1">
      <alignment horizontal="center" vertical="center"/>
      <protection/>
    </xf>
    <xf numFmtId="0" fontId="16" fillId="33" borderId="30" xfId="57" applyFont="1" applyFill="1" applyBorder="1" applyAlignment="1">
      <alignment horizontal="center" vertical="center"/>
      <protection/>
    </xf>
    <xf numFmtId="0" fontId="16" fillId="33" borderId="0" xfId="57" applyFont="1" applyFill="1" applyBorder="1" applyAlignment="1">
      <alignment horizontal="center" vertical="center"/>
      <protection/>
    </xf>
    <xf numFmtId="0" fontId="17" fillId="33" borderId="0" xfId="57" applyFont="1" applyFill="1" applyBorder="1" applyAlignment="1">
      <alignment horizontal="center" vertical="center"/>
      <protection/>
    </xf>
    <xf numFmtId="0" fontId="10" fillId="33" borderId="0" xfId="57" applyFont="1" applyFill="1" applyBorder="1" applyAlignment="1">
      <alignment horizontal="centerContinuous" vertical="center"/>
      <protection/>
    </xf>
    <xf numFmtId="0" fontId="10" fillId="33" borderId="11" xfId="57" applyFont="1" applyFill="1" applyBorder="1" applyAlignment="1">
      <alignment/>
      <protection/>
    </xf>
    <xf numFmtId="0" fontId="0" fillId="33" borderId="0" xfId="57" applyFont="1" applyFill="1" applyBorder="1" applyAlignment="1">
      <alignment horizontal="left" wrapText="1"/>
      <protection/>
    </xf>
    <xf numFmtId="0" fontId="16" fillId="33" borderId="14" xfId="57" applyFont="1" applyFill="1" applyBorder="1" applyAlignment="1">
      <alignment horizontal="center" vertical="top"/>
      <protection/>
    </xf>
    <xf numFmtId="0" fontId="16" fillId="33" borderId="0" xfId="57" applyFont="1" applyFill="1" applyBorder="1" applyAlignment="1">
      <alignment horizontal="center" vertical="top"/>
      <protection/>
    </xf>
    <xf numFmtId="0" fontId="17" fillId="33" borderId="0" xfId="57" applyFont="1" applyFill="1" applyBorder="1" applyAlignment="1">
      <alignment horizontal="center" vertical="top"/>
      <protection/>
    </xf>
    <xf numFmtId="0" fontId="13" fillId="33" borderId="0" xfId="57" applyFont="1" applyFill="1" applyBorder="1" applyAlignment="1">
      <alignment horizontal="centerContinuous" vertical="top"/>
      <protection/>
    </xf>
    <xf numFmtId="0" fontId="18" fillId="0" borderId="14" xfId="57" applyFont="1" applyBorder="1" applyAlignment="1">
      <alignment/>
      <protection/>
    </xf>
    <xf numFmtId="0" fontId="18" fillId="0" borderId="0" xfId="57" applyFont="1" applyAlignment="1">
      <alignment/>
      <protection/>
    </xf>
    <xf numFmtId="0" fontId="0" fillId="33" borderId="0" xfId="57" applyFont="1" applyFill="1" applyBorder="1" applyAlignment="1">
      <alignment/>
      <protection/>
    </xf>
    <xf numFmtId="0" fontId="0" fillId="33" borderId="11" xfId="57" applyFont="1" applyFill="1" applyBorder="1" applyAlignment="1">
      <alignment/>
      <protection/>
    </xf>
    <xf numFmtId="0" fontId="0" fillId="33" borderId="0" xfId="57" applyFont="1" applyFill="1" applyBorder="1" applyAlignment="1">
      <alignment horizontal="center" vertical="top"/>
      <protection/>
    </xf>
    <xf numFmtId="0" fontId="1" fillId="33" borderId="0" xfId="57" applyFont="1" applyFill="1" applyBorder="1" applyAlignment="1">
      <alignment horizontal="center" vertical="top"/>
      <protection/>
    </xf>
    <xf numFmtId="0" fontId="1" fillId="33" borderId="14" xfId="57" applyFont="1" applyFill="1" applyBorder="1" applyAlignment="1">
      <alignment horizontal="center" vertical="top"/>
      <protection/>
    </xf>
    <xf numFmtId="0" fontId="2" fillId="33" borderId="0" xfId="57" applyFont="1" applyFill="1" applyBorder="1" applyAlignment="1">
      <alignment horizontal="center" vertical="top"/>
      <protection/>
    </xf>
    <xf numFmtId="0" fontId="3" fillId="33" borderId="0" xfId="57" applyFont="1" applyFill="1" applyBorder="1" applyAlignment="1">
      <alignment horizontal="centerContinuous" vertical="top"/>
      <protection/>
    </xf>
    <xf numFmtId="0" fontId="0" fillId="33" borderId="0" xfId="57" applyFont="1" applyFill="1" applyBorder="1">
      <alignment/>
      <protection/>
    </xf>
    <xf numFmtId="0" fontId="10" fillId="33" borderId="12" xfId="57" applyFont="1" applyFill="1" applyBorder="1" applyAlignment="1">
      <alignment/>
      <protection/>
    </xf>
    <xf numFmtId="0" fontId="10" fillId="33" borderId="13" xfId="57" applyFont="1" applyFill="1" applyBorder="1">
      <alignment/>
      <protection/>
    </xf>
    <xf numFmtId="0" fontId="16" fillId="33" borderId="15" xfId="57" applyFont="1" applyFill="1" applyBorder="1" applyAlignment="1">
      <alignment horizontal="center" vertical="top"/>
      <protection/>
    </xf>
    <xf numFmtId="0" fontId="10" fillId="0" borderId="0" xfId="0" applyFont="1" applyFill="1" applyBorder="1" applyAlignment="1">
      <alignment/>
    </xf>
    <xf numFmtId="0" fontId="0" fillId="0" borderId="0" xfId="0" applyFill="1" applyBorder="1" applyAlignment="1">
      <alignment horizontal="right"/>
    </xf>
    <xf numFmtId="0" fontId="0" fillId="0" borderId="0" xfId="0" applyFont="1" applyFill="1" applyBorder="1" applyAlignment="1">
      <alignment/>
    </xf>
    <xf numFmtId="0" fontId="0" fillId="0" borderId="0" xfId="0" applyFill="1" applyBorder="1" applyAlignment="1">
      <alignment horizontal="left"/>
    </xf>
    <xf numFmtId="2" fontId="0" fillId="33" borderId="0" xfId="0" applyNumberFormat="1" applyFill="1" applyBorder="1" applyAlignment="1">
      <alignment/>
    </xf>
    <xf numFmtId="2" fontId="0" fillId="33" borderId="10" xfId="0" applyNumberFormat="1" applyFont="1" applyFill="1" applyBorder="1" applyAlignment="1">
      <alignment horizontal="center"/>
    </xf>
    <xf numFmtId="166" fontId="0" fillId="33" borderId="10" xfId="0" applyNumberFormat="1" applyFont="1" applyFill="1" applyBorder="1" applyAlignment="1">
      <alignment horizontal="center"/>
    </xf>
    <xf numFmtId="183" fontId="0" fillId="33" borderId="10" xfId="0" applyNumberFormat="1" applyFont="1" applyFill="1" applyBorder="1" applyAlignment="1">
      <alignment horizontal="center"/>
    </xf>
    <xf numFmtId="183" fontId="0" fillId="33" borderId="10" xfId="0" applyNumberFormat="1" applyFill="1" applyBorder="1" applyAlignment="1">
      <alignment horizontal="center"/>
    </xf>
    <xf numFmtId="2" fontId="0" fillId="33" borderId="10" xfId="0" applyNumberFormat="1" applyFill="1" applyBorder="1" applyAlignment="1">
      <alignment horizontal="center"/>
    </xf>
    <xf numFmtId="2" fontId="0" fillId="33" borderId="0" xfId="0" applyNumberFormat="1" applyFill="1" applyBorder="1" applyAlignment="1">
      <alignment horizontal="center"/>
    </xf>
    <xf numFmtId="0" fontId="0" fillId="33" borderId="0" xfId="0" applyFill="1" applyAlignment="1">
      <alignment/>
    </xf>
    <xf numFmtId="0" fontId="0" fillId="0" borderId="10" xfId="0" applyFill="1" applyBorder="1" applyAlignment="1">
      <alignment horizontal="left"/>
    </xf>
    <xf numFmtId="2" fontId="10" fillId="0" borderId="0" xfId="0" applyNumberFormat="1" applyFont="1" applyFill="1" applyAlignment="1">
      <alignment/>
    </xf>
    <xf numFmtId="177" fontId="10" fillId="0" borderId="0" xfId="0" applyNumberFormat="1" applyFont="1" applyFill="1" applyAlignment="1">
      <alignment/>
    </xf>
    <xf numFmtId="0" fontId="0" fillId="0" borderId="0" xfId="0" applyFont="1" applyAlignment="1">
      <alignment/>
    </xf>
    <xf numFmtId="0" fontId="0" fillId="38" borderId="10" xfId="0" applyFill="1" applyBorder="1" applyAlignment="1">
      <alignment/>
    </xf>
    <xf numFmtId="2" fontId="0" fillId="38" borderId="10" xfId="0" applyNumberFormat="1" applyFill="1" applyBorder="1" applyAlignment="1">
      <alignment horizontal="center"/>
    </xf>
    <xf numFmtId="2" fontId="0" fillId="38" borderId="10" xfId="0" applyNumberFormat="1" applyFill="1" applyBorder="1" applyAlignment="1" quotePrefix="1">
      <alignment horizontal="center"/>
    </xf>
    <xf numFmtId="2" fontId="0" fillId="38" borderId="0" xfId="0" applyNumberFormat="1" applyFill="1" applyBorder="1" applyAlignment="1">
      <alignment horizontal="center"/>
    </xf>
    <xf numFmtId="2" fontId="0" fillId="38" borderId="0" xfId="0" applyNumberFormat="1" applyFill="1" applyAlignment="1" quotePrefix="1">
      <alignment/>
    </xf>
    <xf numFmtId="0" fontId="0" fillId="38" borderId="10" xfId="0" applyFill="1" applyBorder="1" applyAlignment="1">
      <alignment horizontal="center"/>
    </xf>
    <xf numFmtId="0" fontId="0" fillId="38" borderId="0" xfId="0" applyFill="1" applyAlignment="1">
      <alignment/>
    </xf>
    <xf numFmtId="0" fontId="0" fillId="0" borderId="0" xfId="0" applyFont="1" applyFill="1" applyAlignment="1">
      <alignment/>
    </xf>
    <xf numFmtId="0" fontId="6" fillId="33" borderId="0" xfId="53" applyFill="1" applyBorder="1" applyAlignment="1" applyProtection="1">
      <alignment/>
      <protection/>
    </xf>
    <xf numFmtId="1" fontId="0" fillId="0" borderId="10" xfId="0" applyNumberFormat="1" applyFill="1" applyBorder="1" applyAlignment="1">
      <alignment horizontal="center"/>
    </xf>
    <xf numFmtId="166" fontId="0" fillId="33" borderId="10" xfId="0" applyNumberFormat="1" applyFill="1" applyBorder="1" applyAlignment="1">
      <alignment horizontal="center"/>
    </xf>
    <xf numFmtId="0" fontId="18" fillId="0" borderId="0" xfId="0" applyFont="1" applyFill="1" applyBorder="1" applyAlignment="1">
      <alignment/>
    </xf>
    <xf numFmtId="0" fontId="18" fillId="0" borderId="0" xfId="0" applyFont="1" applyFill="1" applyAlignment="1">
      <alignment/>
    </xf>
    <xf numFmtId="166" fontId="18" fillId="0" borderId="0" xfId="0" applyNumberFormat="1" applyFont="1" applyFill="1" applyAlignment="1">
      <alignment/>
    </xf>
    <xf numFmtId="1" fontId="18" fillId="0" borderId="0" xfId="0" applyNumberFormat="1" applyFont="1" applyFill="1" applyAlignment="1">
      <alignment/>
    </xf>
    <xf numFmtId="1" fontId="0" fillId="0" borderId="0" xfId="0" applyNumberFormat="1" applyFill="1" applyBorder="1" applyAlignment="1">
      <alignment horizontal="right"/>
    </xf>
    <xf numFmtId="0" fontId="0" fillId="33" borderId="0" xfId="57" applyFont="1" applyFill="1" applyBorder="1" applyAlignment="1">
      <alignment wrapText="1"/>
      <protection/>
    </xf>
    <xf numFmtId="0" fontId="20" fillId="33" borderId="0" xfId="57" applyFont="1" applyFill="1" applyBorder="1" applyAlignment="1">
      <alignment wrapText="1"/>
      <protection/>
    </xf>
    <xf numFmtId="0" fontId="11" fillId="0" borderId="0" xfId="0" applyFont="1" applyAlignment="1">
      <alignment vertical="center"/>
    </xf>
    <xf numFmtId="0" fontId="19" fillId="33" borderId="0" xfId="57" applyFont="1" applyFill="1" applyBorder="1" applyAlignment="1">
      <alignment horizontal="left" wrapText="1"/>
      <protection/>
    </xf>
    <xf numFmtId="0" fontId="0" fillId="0" borderId="0" xfId="0" applyFont="1" applyAlignment="1">
      <alignment vertical="center"/>
    </xf>
    <xf numFmtId="0" fontId="8" fillId="0" borderId="0" xfId="57" applyFont="1" applyAlignment="1">
      <alignment/>
      <protection/>
    </xf>
    <xf numFmtId="0" fontId="18" fillId="0" borderId="0" xfId="57" applyFont="1" applyAlignment="1">
      <alignment horizontal="left" wrapText="1"/>
      <protection/>
    </xf>
    <xf numFmtId="0" fontId="4" fillId="0" borderId="0" xfId="0" applyFont="1" applyBorder="1" applyAlignment="1">
      <alignment horizontal="center"/>
    </xf>
    <xf numFmtId="0" fontId="4" fillId="0" borderId="0" xfId="0" applyFont="1" applyBorder="1" applyAlignment="1">
      <alignment horizontal="left"/>
    </xf>
    <xf numFmtId="0" fontId="0" fillId="0" borderId="29" xfId="0" applyFont="1" applyFill="1" applyBorder="1" applyAlignment="1">
      <alignment/>
    </xf>
    <xf numFmtId="0" fontId="18" fillId="0" borderId="10" xfId="0" applyFont="1" applyBorder="1" applyAlignment="1">
      <alignment horizontal="center"/>
    </xf>
    <xf numFmtId="0" fontId="19" fillId="0" borderId="0" xfId="0" applyFont="1" applyAlignment="1">
      <alignment horizontal="left" vertical="center"/>
    </xf>
    <xf numFmtId="0" fontId="38" fillId="0" borderId="0" xfId="0" applyFont="1" applyAlignment="1">
      <alignment/>
    </xf>
    <xf numFmtId="0" fontId="3" fillId="33" borderId="0" xfId="0" applyFont="1" applyFill="1" applyBorder="1" applyAlignment="1">
      <alignment horizontal="center"/>
    </xf>
    <xf numFmtId="0" fontId="0" fillId="0" borderId="0" xfId="0" applyBorder="1" applyAlignment="1">
      <alignment horizontal="center"/>
    </xf>
    <xf numFmtId="0" fontId="0" fillId="33" borderId="10" xfId="0" applyFill="1" applyBorder="1" applyAlignment="1">
      <alignment/>
    </xf>
    <xf numFmtId="0" fontId="0" fillId="33" borderId="10" xfId="0" applyFill="1" applyBorder="1" applyAlignment="1">
      <alignment horizontal="center"/>
    </xf>
    <xf numFmtId="0" fontId="0" fillId="0" borderId="10" xfId="0" applyBorder="1" applyAlignment="1">
      <alignment vertical="center"/>
    </xf>
    <xf numFmtId="0" fontId="0" fillId="33" borderId="0" xfId="0" applyFill="1" applyAlignment="1">
      <alignment horizontal="center"/>
    </xf>
    <xf numFmtId="0" fontId="0" fillId="0" borderId="10" xfId="0" applyFont="1" applyBorder="1" applyAlignment="1">
      <alignment/>
    </xf>
    <xf numFmtId="1" fontId="0" fillId="0" borderId="10" xfId="0" applyNumberFormat="1" applyBorder="1" applyAlignment="1">
      <alignment/>
    </xf>
    <xf numFmtId="0" fontId="0" fillId="0" borderId="0" xfId="0" applyFont="1" applyAlignment="1">
      <alignment horizontal="right"/>
    </xf>
    <xf numFmtId="0" fontId="0" fillId="0" borderId="0" xfId="0" applyAlignment="1">
      <alignment horizontal="right"/>
    </xf>
    <xf numFmtId="0" fontId="0" fillId="0" borderId="0" xfId="0" applyFont="1" applyBorder="1" applyAlignment="1">
      <alignment vertical="center"/>
    </xf>
    <xf numFmtId="0" fontId="39" fillId="0" borderId="0" xfId="0" applyFont="1" applyAlignment="1">
      <alignment/>
    </xf>
    <xf numFmtId="0" fontId="40" fillId="33" borderId="0" xfId="0" applyFont="1" applyFill="1" applyAlignment="1">
      <alignment/>
    </xf>
    <xf numFmtId="0" fontId="0" fillId="38" borderId="0" xfId="0" applyFont="1" applyFill="1" applyAlignment="1">
      <alignment/>
    </xf>
    <xf numFmtId="0" fontId="0" fillId="38" borderId="0" xfId="0" applyFill="1" applyAlignment="1">
      <alignment horizontal="center"/>
    </xf>
    <xf numFmtId="0" fontId="0" fillId="34" borderId="1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xf>
    <xf numFmtId="0" fontId="24" fillId="0" borderId="0" xfId="0" applyFont="1" applyFill="1" applyBorder="1" applyAlignment="1">
      <alignment horizontal="center" vertical="center"/>
    </xf>
    <xf numFmtId="0" fontId="0" fillId="33" borderId="10" xfId="0" applyFont="1" applyFill="1" applyBorder="1" applyAlignment="1">
      <alignment/>
    </xf>
    <xf numFmtId="0" fontId="25" fillId="0" borderId="17" xfId="0" applyFont="1" applyFill="1" applyBorder="1" applyAlignment="1">
      <alignment vertical="center" wrapText="1"/>
    </xf>
    <xf numFmtId="0" fontId="25" fillId="0" borderId="0" xfId="0" applyFont="1" applyFill="1" applyBorder="1" applyAlignment="1">
      <alignment vertical="center" wrapText="1"/>
    </xf>
    <xf numFmtId="0" fontId="31" fillId="0" borderId="0" xfId="0" applyFont="1" applyBorder="1" applyAlignment="1">
      <alignment vertical="center"/>
    </xf>
    <xf numFmtId="0" fontId="31" fillId="33" borderId="0" xfId="0" applyFont="1" applyFill="1" applyBorder="1" applyAlignment="1">
      <alignment/>
    </xf>
    <xf numFmtId="0" fontId="0" fillId="0" borderId="0" xfId="0" applyFill="1" applyBorder="1" applyAlignment="1">
      <alignment horizontal="center" vertical="center" wrapText="1"/>
    </xf>
    <xf numFmtId="0" fontId="0" fillId="0" borderId="10" xfId="0" applyFont="1" applyFill="1" applyBorder="1" applyAlignment="1">
      <alignment/>
    </xf>
    <xf numFmtId="0" fontId="0" fillId="0" borderId="10" xfId="0" applyFont="1" applyFill="1" applyBorder="1" applyAlignment="1">
      <alignment horizontal="left"/>
    </xf>
    <xf numFmtId="2" fontId="0" fillId="0" borderId="10" xfId="0" applyNumberFormat="1" applyFont="1" applyFill="1" applyBorder="1" applyAlignment="1">
      <alignment horizontal="center"/>
    </xf>
    <xf numFmtId="166" fontId="0" fillId="0" borderId="10" xfId="0" applyNumberFormat="1" applyFont="1" applyFill="1" applyBorder="1" applyAlignment="1">
      <alignment horizontal="center"/>
    </xf>
    <xf numFmtId="2" fontId="3" fillId="39" borderId="10" xfId="0" applyNumberFormat="1" applyFont="1" applyFill="1" applyBorder="1" applyAlignment="1">
      <alignment horizontal="center"/>
    </xf>
    <xf numFmtId="0" fontId="0" fillId="0" borderId="10" xfId="0" applyFont="1" applyBorder="1" applyAlignment="1">
      <alignment horizontal="center"/>
    </xf>
    <xf numFmtId="166" fontId="0" fillId="0" borderId="31" xfId="0" applyNumberFormat="1" applyFill="1" applyBorder="1" applyAlignment="1">
      <alignment horizontal="center"/>
    </xf>
    <xf numFmtId="0" fontId="3" fillId="38" borderId="0" xfId="0" applyFont="1" applyFill="1" applyAlignment="1">
      <alignment/>
    </xf>
    <xf numFmtId="0" fontId="0" fillId="0" borderId="10" xfId="0" applyFont="1" applyFill="1" applyBorder="1" applyAlignment="1">
      <alignment horizontal="center"/>
    </xf>
    <xf numFmtId="0" fontId="0" fillId="33" borderId="0" xfId="57" applyFont="1" applyFill="1" applyBorder="1" applyAlignment="1">
      <alignment horizontal="center" vertical="top"/>
      <protection/>
    </xf>
    <xf numFmtId="0" fontId="10" fillId="33" borderId="0" xfId="57" applyFont="1" applyFill="1" applyBorder="1" applyAlignment="1">
      <alignment horizontal="left" vertical="top"/>
      <protection/>
    </xf>
    <xf numFmtId="0" fontId="1" fillId="33" borderId="0" xfId="57" applyFont="1" applyFill="1" applyBorder="1" applyAlignment="1">
      <alignment horizontal="center" vertical="top"/>
      <protection/>
    </xf>
    <xf numFmtId="0" fontId="20" fillId="33" borderId="0" xfId="57" applyFont="1" applyFill="1" applyBorder="1" applyAlignment="1">
      <alignment horizontal="left"/>
      <protection/>
    </xf>
    <xf numFmtId="0" fontId="3" fillId="33" borderId="0" xfId="57" applyFont="1" applyFill="1" applyBorder="1" applyAlignment="1">
      <alignment horizontal="left"/>
      <protection/>
    </xf>
    <xf numFmtId="0" fontId="20" fillId="0" borderId="0" xfId="57" applyFont="1" applyAlignment="1">
      <alignment horizontal="left" wrapText="1"/>
      <protection/>
    </xf>
    <xf numFmtId="0" fontId="0" fillId="0" borderId="0" xfId="57" applyFont="1" applyAlignment="1">
      <alignment horizontal="left" wrapText="1"/>
      <protection/>
    </xf>
    <xf numFmtId="0" fontId="21" fillId="0" borderId="0" xfId="57" applyFont="1" applyAlignment="1">
      <alignment horizontal="left" wrapText="1"/>
      <protection/>
    </xf>
    <xf numFmtId="0" fontId="8" fillId="0" borderId="0" xfId="57" applyFont="1" applyAlignment="1">
      <alignment horizontal="left" wrapText="1"/>
      <protection/>
    </xf>
    <xf numFmtId="0" fontId="0" fillId="33" borderId="0" xfId="57" applyFont="1" applyFill="1" applyBorder="1" applyAlignment="1">
      <alignment horizontal="left" wrapText="1"/>
      <protection/>
    </xf>
    <xf numFmtId="0" fontId="11" fillId="0" borderId="0" xfId="0" applyFont="1" applyAlignment="1">
      <alignment horizontal="left" vertical="center" wrapText="1"/>
    </xf>
    <xf numFmtId="0" fontId="11" fillId="0" borderId="0" xfId="0" applyFont="1" applyAlignment="1">
      <alignment horizontal="left" vertical="center"/>
    </xf>
    <xf numFmtId="0" fontId="19" fillId="33" borderId="0" xfId="57" applyFont="1" applyFill="1" applyBorder="1" applyAlignment="1">
      <alignment horizontal="left" wrapText="1"/>
      <protection/>
    </xf>
    <xf numFmtId="0" fontId="18" fillId="0" borderId="0" xfId="57" applyFont="1" applyAlignment="1">
      <alignment horizontal="left" wrapText="1"/>
      <protection/>
    </xf>
    <xf numFmtId="0" fontId="4" fillId="0" borderId="17" xfId="0" applyFont="1" applyBorder="1" applyAlignment="1">
      <alignment horizontal="center" wrapText="1"/>
    </xf>
    <xf numFmtId="0" fontId="4" fillId="0" borderId="17" xfId="0" applyFont="1" applyBorder="1" applyAlignment="1">
      <alignment horizontal="center"/>
    </xf>
    <xf numFmtId="0" fontId="0" fillId="36" borderId="32" xfId="0" applyFont="1" applyFill="1" applyBorder="1" applyAlignment="1">
      <alignment horizontal="center" vertical="center"/>
    </xf>
    <xf numFmtId="0" fontId="0" fillId="36" borderId="0" xfId="0" applyFont="1" applyFill="1" applyBorder="1" applyAlignment="1">
      <alignment horizontal="center" vertical="center"/>
    </xf>
    <xf numFmtId="166" fontId="3" fillId="33" borderId="0" xfId="0" applyNumberFormat="1" applyFont="1" applyFill="1" applyBorder="1" applyAlignment="1">
      <alignment horizontal="center" vertical="center" wrapText="1"/>
    </xf>
    <xf numFmtId="0" fontId="3" fillId="33" borderId="0" xfId="0" applyFont="1" applyFill="1" applyBorder="1" applyAlignment="1">
      <alignment wrapText="1"/>
    </xf>
    <xf numFmtId="166" fontId="3" fillId="0" borderId="0" xfId="0" applyNumberFormat="1" applyFont="1" applyFill="1" applyBorder="1" applyAlignment="1">
      <alignment horizontal="center"/>
    </xf>
    <xf numFmtId="0" fontId="14" fillId="0" borderId="33" xfId="0" applyFont="1" applyBorder="1" applyAlignment="1">
      <alignment horizontal="left" vertical="top" wrapText="1"/>
    </xf>
    <xf numFmtId="0" fontId="14" fillId="0" borderId="34" xfId="0" applyFont="1" applyBorder="1" applyAlignment="1">
      <alignment horizontal="left" vertical="top" wrapText="1"/>
    </xf>
    <xf numFmtId="166" fontId="16" fillId="0" borderId="33" xfId="0" applyNumberFormat="1" applyFont="1" applyBorder="1" applyAlignment="1">
      <alignment horizontal="center" vertical="center"/>
    </xf>
    <xf numFmtId="166" fontId="16" fillId="0" borderId="35" xfId="0" applyNumberFormat="1" applyFont="1" applyBorder="1" applyAlignment="1">
      <alignment horizontal="center" vertical="center"/>
    </xf>
    <xf numFmtId="1" fontId="3" fillId="0" borderId="0" xfId="61" applyNumberFormat="1" applyFont="1" applyFill="1" applyBorder="1" applyAlignment="1">
      <alignment horizontal="center"/>
    </xf>
    <xf numFmtId="0" fontId="0" fillId="0" borderId="0" xfId="0" applyAlignment="1">
      <alignment horizontal="center" vertical="center"/>
    </xf>
    <xf numFmtId="0" fontId="0" fillId="34" borderId="0" xfId="0" applyFont="1" applyFill="1" applyBorder="1" applyAlignment="1">
      <alignment horizontal="center" vertical="center" wrapText="1"/>
    </xf>
    <xf numFmtId="0" fontId="15" fillId="0" borderId="0" xfId="0" applyFont="1" applyBorder="1" applyAlignment="1">
      <alignment vertical="center" wrapText="1"/>
    </xf>
    <xf numFmtId="0" fontId="0" fillId="0" borderId="0" xfId="0" applyAlignment="1">
      <alignment wrapText="1"/>
    </xf>
    <xf numFmtId="166" fontId="22" fillId="0" borderId="22" xfId="61" applyNumberFormat="1" applyFont="1" applyFill="1" applyBorder="1" applyAlignment="1">
      <alignment horizontal="center" vertical="center" wrapText="1"/>
    </xf>
    <xf numFmtId="166" fontId="22" fillId="0" borderId="24" xfId="61" applyNumberFormat="1" applyFont="1" applyFill="1" applyBorder="1" applyAlignment="1">
      <alignment horizontal="center" vertical="center" wrapText="1"/>
    </xf>
    <xf numFmtId="166" fontId="22" fillId="0" borderId="26" xfId="61" applyNumberFormat="1" applyFont="1" applyFill="1" applyBorder="1" applyAlignment="1">
      <alignment horizontal="center" vertical="center" wrapText="1"/>
    </xf>
    <xf numFmtId="166" fontId="22" fillId="0" borderId="28" xfId="61" applyNumberFormat="1" applyFont="1" applyFill="1" applyBorder="1" applyAlignment="1">
      <alignment horizontal="center" vertical="center" wrapText="1"/>
    </xf>
    <xf numFmtId="0" fontId="0" fillId="34" borderId="0" xfId="0" applyFill="1" applyBorder="1" applyAlignment="1">
      <alignment horizontal="center" vertical="center" wrapText="1"/>
    </xf>
    <xf numFmtId="0" fontId="4" fillId="33" borderId="0" xfId="0" applyFont="1" applyFill="1" applyBorder="1" applyAlignment="1">
      <alignment horizontal="center" wrapText="1"/>
    </xf>
    <xf numFmtId="0" fontId="3" fillId="33" borderId="0" xfId="0" applyFont="1" applyFill="1" applyBorder="1" applyAlignment="1">
      <alignment horizontal="center"/>
    </xf>
    <xf numFmtId="0" fontId="20" fillId="0" borderId="0" xfId="0" applyFont="1" applyFill="1" applyAlignment="1">
      <alignment horizontal="left"/>
    </xf>
    <xf numFmtId="0" fontId="0" fillId="0" borderId="0" xfId="0" applyFont="1" applyFill="1" applyBorder="1" applyAlignment="1">
      <alignment horizontal="center"/>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Percent 2"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1" i="0" u="none" baseline="0">
                <a:solidFill>
                  <a:srgbClr val="000000"/>
                </a:solidFill>
                <a:latin typeface="Arial"/>
                <a:ea typeface="Arial"/>
                <a:cs typeface="Arial"/>
              </a:rPr>
              <a:t>Trust score compared to other Trusts within same SHA</a:t>
            </a:r>
          </a:p>
        </c:rich>
      </c:tx>
      <c:layout/>
      <c:spPr>
        <a:noFill/>
        <a:ln>
          <a:noFill/>
        </a:ln>
      </c:spPr>
    </c:title>
    <c:plotArea>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'SHA cluster table data'!#REF!</c:f>
            </c:numRef>
          </c:val>
        </c:ser>
        <c:axId val="64832225"/>
        <c:axId val="46619114"/>
      </c:barChart>
      <c:catAx>
        <c:axId val="64832225"/>
        <c:scaling>
          <c:orientation val="minMax"/>
        </c:scaling>
        <c:axPos val="b"/>
        <c:delete val="0"/>
        <c:numFmt formatCode="General" sourceLinked="1"/>
        <c:majorTickMark val="out"/>
        <c:minorTickMark val="none"/>
        <c:tickLblPos val="nextTo"/>
        <c:spPr>
          <a:ln w="3175">
            <a:solidFill>
              <a:srgbClr val="000000"/>
            </a:solidFill>
          </a:ln>
        </c:spPr>
        <c:crossAx val="46619114"/>
        <c:crosses val="autoZero"/>
        <c:auto val="1"/>
        <c:lblOffset val="100"/>
        <c:tickLblSkip val="3"/>
        <c:noMultiLvlLbl val="0"/>
      </c:catAx>
      <c:valAx>
        <c:axId val="46619114"/>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4832225"/>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1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75" b="1" i="0" u="none" baseline="0">
                <a:solidFill>
                  <a:srgbClr val="000000"/>
                </a:solidFill>
                <a:latin typeface="Arial"/>
                <a:ea typeface="Arial"/>
                <a:cs typeface="Arial"/>
              </a:rPr>
              <a:t>Trust score compared to other Trusts within same SHA (CQUIN 2010 scores based on Adult 2010 Inpatient Survey data)
</a:t>
            </a:r>
          </a:p>
        </c:rich>
      </c:tx>
      <c:layout/>
      <c:spPr>
        <a:noFill/>
        <a:ln>
          <a:noFill/>
        </a:ln>
      </c:spPr>
    </c:title>
    <c:plotArea>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'SHA cluster table data'!#REF!</c:f>
            </c:numRef>
          </c:val>
        </c:ser>
        <c:axId val="54581387"/>
        <c:axId val="21470436"/>
      </c:barChart>
      <c:catAx>
        <c:axId val="54581387"/>
        <c:scaling>
          <c:orientation val="minMax"/>
        </c:scaling>
        <c:axPos val="b"/>
        <c:title>
          <c:tx>
            <c:rich>
              <a:bodyPr vert="horz" rot="0" anchor="ctr"/>
              <a:lstStyle/>
              <a:p>
                <a:pPr algn="ctr">
                  <a:defRPr/>
                </a:pPr>
                <a:r>
                  <a:rPr lang="en-US" cap="none" sz="150" b="1" i="0" u="none" baseline="0">
                    <a:solidFill>
                      <a:srgbClr val="000000"/>
                    </a:solidFill>
                    <a:latin typeface="Arial"/>
                    <a:ea typeface="Arial"/>
                    <a:cs typeface="Arial"/>
                  </a:rPr>
                  <a:t>Trust</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21470436"/>
        <c:crosses val="autoZero"/>
        <c:auto val="1"/>
        <c:lblOffset val="100"/>
        <c:tickLblSkip val="2"/>
        <c:noMultiLvlLbl val="0"/>
      </c:catAx>
      <c:valAx>
        <c:axId val="21470436"/>
        <c:scaling>
          <c:orientation val="minMax"/>
        </c:scaling>
        <c:axPos val="l"/>
        <c:title>
          <c:tx>
            <c:rich>
              <a:bodyPr vert="horz" rot="-5400000" anchor="ctr"/>
              <a:lstStyle/>
              <a:p>
                <a:pPr algn="ctr">
                  <a:defRPr/>
                </a:pPr>
                <a:r>
                  <a:rPr lang="en-US" cap="none" sz="150" b="1" i="0" u="none" baseline="0">
                    <a:solidFill>
                      <a:srgbClr val="000000"/>
                    </a:solidFill>
                    <a:latin typeface="Arial"/>
                    <a:ea typeface="Arial"/>
                    <a:cs typeface="Arial"/>
                  </a:rPr>
                  <a:t>CQUIN score (out of 100)</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4581387"/>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75" b="1" i="0" u="none" baseline="0">
                <a:solidFill>
                  <a:srgbClr val="000000"/>
                </a:solidFill>
                <a:latin typeface="Arial"/>
                <a:ea typeface="Arial"/>
                <a:cs typeface="Arial"/>
              </a:rPr>
              <a:t>Trust score compared to other Trusts within same SHA (CQUIN 2010 scores based on Adult 2010 Inpatient Survey data)
</a:t>
            </a:r>
          </a:p>
        </c:rich>
      </c:tx>
      <c:layout/>
      <c:spPr>
        <a:noFill/>
        <a:ln>
          <a:noFill/>
        </a:ln>
      </c:spPr>
    </c:title>
    <c:plotArea>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'SHA cluster table data'!#REF!</c:f>
            </c:numRef>
          </c:val>
        </c:ser>
        <c:axId val="59016197"/>
        <c:axId val="61383726"/>
      </c:barChart>
      <c:catAx>
        <c:axId val="59016197"/>
        <c:scaling>
          <c:orientation val="minMax"/>
        </c:scaling>
        <c:axPos val="b"/>
        <c:title>
          <c:tx>
            <c:rich>
              <a:bodyPr vert="horz" rot="0" anchor="ctr"/>
              <a:lstStyle/>
              <a:p>
                <a:pPr algn="ctr">
                  <a:defRPr/>
                </a:pPr>
                <a:r>
                  <a:rPr lang="en-US" cap="none" sz="150" b="1" i="0" u="none" baseline="0">
                    <a:solidFill>
                      <a:srgbClr val="000000"/>
                    </a:solidFill>
                    <a:latin typeface="Arial"/>
                    <a:ea typeface="Arial"/>
                    <a:cs typeface="Arial"/>
                  </a:rPr>
                  <a:t>Trust</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61383726"/>
        <c:crosses val="autoZero"/>
        <c:auto val="1"/>
        <c:lblOffset val="100"/>
        <c:tickLblSkip val="2"/>
        <c:noMultiLvlLbl val="0"/>
      </c:catAx>
      <c:valAx>
        <c:axId val="61383726"/>
        <c:scaling>
          <c:orientation val="minMax"/>
        </c:scaling>
        <c:axPos val="l"/>
        <c:title>
          <c:tx>
            <c:rich>
              <a:bodyPr vert="horz" rot="-5400000" anchor="ctr"/>
              <a:lstStyle/>
              <a:p>
                <a:pPr algn="ctr">
                  <a:defRPr/>
                </a:pPr>
                <a:r>
                  <a:rPr lang="en-US" cap="none" sz="150" b="1" i="0" u="none" baseline="0">
                    <a:solidFill>
                      <a:srgbClr val="000000"/>
                    </a:solidFill>
                    <a:latin typeface="Arial"/>
                    <a:ea typeface="Arial"/>
                    <a:cs typeface="Arial"/>
                  </a:rPr>
                  <a:t>CQUIN score (out of 100)</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9016197"/>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75" b="1" i="0" u="none" baseline="0">
                <a:solidFill>
                  <a:srgbClr val="000000"/>
                </a:solidFill>
                <a:latin typeface="Arial"/>
                <a:ea typeface="Arial"/>
                <a:cs typeface="Arial"/>
              </a:rPr>
              <a:t>Trust score compared to other Trusts within same SHA (CQUIN 2010 scores based on Adult 2010 Inpatient Survey data)
</a:t>
            </a:r>
          </a:p>
        </c:rich>
      </c:tx>
      <c:layout/>
      <c:spPr>
        <a:noFill/>
        <a:ln>
          <a:noFill/>
        </a:ln>
      </c:spPr>
    </c:title>
    <c:plotArea>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'SHA cluster table data'!#REF!</c:f>
            </c:numRef>
          </c:val>
        </c:ser>
        <c:axId val="15582623"/>
        <c:axId val="6025880"/>
      </c:barChart>
      <c:catAx>
        <c:axId val="15582623"/>
        <c:scaling>
          <c:orientation val="minMax"/>
        </c:scaling>
        <c:axPos val="b"/>
        <c:title>
          <c:tx>
            <c:rich>
              <a:bodyPr vert="horz" rot="0" anchor="ctr"/>
              <a:lstStyle/>
              <a:p>
                <a:pPr algn="ctr">
                  <a:defRPr/>
                </a:pPr>
                <a:r>
                  <a:rPr lang="en-US" cap="none" sz="150" b="1" i="0" u="none" baseline="0">
                    <a:solidFill>
                      <a:srgbClr val="000000"/>
                    </a:solidFill>
                    <a:latin typeface="Arial"/>
                    <a:ea typeface="Arial"/>
                    <a:cs typeface="Arial"/>
                  </a:rPr>
                  <a:t>Trust</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6025880"/>
        <c:crosses val="autoZero"/>
        <c:auto val="1"/>
        <c:lblOffset val="100"/>
        <c:tickLblSkip val="2"/>
        <c:noMultiLvlLbl val="0"/>
      </c:catAx>
      <c:valAx>
        <c:axId val="6025880"/>
        <c:scaling>
          <c:orientation val="minMax"/>
        </c:scaling>
        <c:axPos val="l"/>
        <c:title>
          <c:tx>
            <c:rich>
              <a:bodyPr vert="horz" rot="-5400000" anchor="ctr"/>
              <a:lstStyle/>
              <a:p>
                <a:pPr algn="ctr">
                  <a:defRPr/>
                </a:pPr>
                <a:r>
                  <a:rPr lang="en-US" cap="none" sz="150" b="1" i="0" u="none" baseline="0">
                    <a:solidFill>
                      <a:srgbClr val="000000"/>
                    </a:solidFill>
                    <a:latin typeface="Arial"/>
                    <a:ea typeface="Arial"/>
                    <a:cs typeface="Arial"/>
                  </a:rPr>
                  <a:t>CQUIN score (out of 100)</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5582623"/>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75" b="1" i="0" u="none" baseline="0">
                <a:solidFill>
                  <a:srgbClr val="000000"/>
                </a:solidFill>
                <a:latin typeface="Arial"/>
                <a:ea typeface="Arial"/>
                <a:cs typeface="Arial"/>
              </a:rPr>
              <a:t>Trust score compared to other Trusts within same SHA (CQUIN 2010 scores based on Adult 2010 Inpatient Survey data)
</a:t>
            </a:r>
          </a:p>
        </c:rich>
      </c:tx>
      <c:layout/>
      <c:spPr>
        <a:noFill/>
        <a:ln>
          <a:noFill/>
        </a:ln>
      </c:spPr>
    </c:title>
    <c:plotArea>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'SHA cluster table data'!#REF!</c:f>
            </c:numRef>
          </c:val>
        </c:ser>
        <c:axId val="54232921"/>
        <c:axId val="18334242"/>
      </c:barChart>
      <c:catAx>
        <c:axId val="54232921"/>
        <c:scaling>
          <c:orientation val="minMax"/>
        </c:scaling>
        <c:axPos val="b"/>
        <c:title>
          <c:tx>
            <c:rich>
              <a:bodyPr vert="horz" rot="0" anchor="ctr"/>
              <a:lstStyle/>
              <a:p>
                <a:pPr algn="ctr">
                  <a:defRPr/>
                </a:pPr>
                <a:r>
                  <a:rPr lang="en-US" cap="none" sz="150" b="1" i="0" u="none" baseline="0">
                    <a:solidFill>
                      <a:srgbClr val="000000"/>
                    </a:solidFill>
                    <a:latin typeface="Arial"/>
                    <a:ea typeface="Arial"/>
                    <a:cs typeface="Arial"/>
                  </a:rPr>
                  <a:t>Trust</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18334242"/>
        <c:crosses val="autoZero"/>
        <c:auto val="1"/>
        <c:lblOffset val="100"/>
        <c:tickLblSkip val="2"/>
        <c:noMultiLvlLbl val="0"/>
      </c:catAx>
      <c:valAx>
        <c:axId val="18334242"/>
        <c:scaling>
          <c:orientation val="minMax"/>
        </c:scaling>
        <c:axPos val="l"/>
        <c:title>
          <c:tx>
            <c:rich>
              <a:bodyPr vert="horz" rot="-5400000" anchor="ctr"/>
              <a:lstStyle/>
              <a:p>
                <a:pPr algn="ctr">
                  <a:defRPr/>
                </a:pPr>
                <a:r>
                  <a:rPr lang="en-US" cap="none" sz="150" b="1" i="0" u="none" baseline="0">
                    <a:solidFill>
                      <a:srgbClr val="000000"/>
                    </a:solidFill>
                    <a:latin typeface="Arial"/>
                    <a:ea typeface="Arial"/>
                    <a:cs typeface="Arial"/>
                  </a:rPr>
                  <a:t>CQUIN score (out of 100)</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4232921"/>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1" i="0" u="none" baseline="0">
                <a:solidFill>
                  <a:srgbClr val="000000"/>
                </a:solidFill>
                <a:latin typeface="Arial"/>
                <a:ea typeface="Arial"/>
                <a:cs typeface="Arial"/>
              </a:rPr>
              <a:t>Trust score compared to oterh Trusts within same SHA</a:t>
            </a:r>
          </a:p>
        </c:rich>
      </c:tx>
      <c:layout/>
      <c:spPr>
        <a:noFill/>
        <a:ln>
          <a:noFill/>
        </a:ln>
      </c:spPr>
    </c:title>
    <c:plotArea>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'historical data'!#REF!</c:f>
            </c:numRef>
          </c:val>
        </c:ser>
        <c:axId val="30790451"/>
        <c:axId val="8678604"/>
      </c:barChart>
      <c:catAx>
        <c:axId val="30790451"/>
        <c:scaling>
          <c:orientation val="minMax"/>
        </c:scaling>
        <c:axPos val="b"/>
        <c:delete val="0"/>
        <c:numFmt formatCode="General" sourceLinked="1"/>
        <c:majorTickMark val="out"/>
        <c:minorTickMark val="none"/>
        <c:tickLblPos val="nextTo"/>
        <c:spPr>
          <a:ln w="3175">
            <a:solidFill>
              <a:srgbClr val="000000"/>
            </a:solidFill>
          </a:ln>
        </c:spPr>
        <c:crossAx val="8678604"/>
        <c:crosses val="autoZero"/>
        <c:auto val="1"/>
        <c:lblOffset val="100"/>
        <c:tickLblSkip val="1"/>
        <c:noMultiLvlLbl val="0"/>
      </c:catAx>
      <c:valAx>
        <c:axId val="8678604"/>
        <c:scaling>
          <c:orientation val="minMax"/>
        </c:scaling>
        <c:axPos val="l"/>
        <c:title>
          <c:tx>
            <c:rich>
              <a:bodyPr vert="horz" rot="-5400000" anchor="ctr"/>
              <a:lstStyle/>
              <a:p>
                <a:pPr algn="ctr">
                  <a:defRPr/>
                </a:pPr>
                <a:r>
                  <a:rPr lang="en-US" cap="none" sz="175" b="1" i="0" u="none" baseline="0">
                    <a:solidFill>
                      <a:srgbClr val="000000"/>
                    </a:solidFill>
                    <a:latin typeface="Arial"/>
                    <a:ea typeface="Arial"/>
                    <a:cs typeface="Arial"/>
                  </a:rPr>
                  <a:t>CQUIN Score (out of 100)</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0790451"/>
        <c:crossesAt val="1"/>
        <c:crossBetween val="between"/>
        <c:dispUnits/>
      </c:valAx>
      <c:spPr>
        <a:solidFill>
          <a:srgbClr val="C0C0C0"/>
        </a:solidFill>
        <a:ln w="12700">
          <a:solidFill>
            <a:srgbClr val="808080"/>
          </a:solidFill>
        </a:ln>
      </c:spPr>
    </c:plotArea>
    <c:legend>
      <c:legendPos val="t"/>
      <c:layout/>
      <c:overlay val="0"/>
      <c:spPr>
        <a:solidFill>
          <a:srgbClr val="FFFFFF"/>
        </a:solidFill>
        <a:ln w="3175">
          <a:solidFill>
            <a:srgbClr val="000000"/>
          </a:solidFill>
        </a:ln>
      </c:spPr>
      <c:txPr>
        <a:bodyPr vert="horz" rot="0"/>
        <a:lstStyle/>
        <a:p>
          <a:pPr>
            <a:defRPr lang="en-US" cap="none" sz="14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75" b="0" i="0" u="none" baseline="0">
          <a:solidFill>
            <a:srgbClr val="000000"/>
          </a:solidFill>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1" i="0" u="none" baseline="0">
                <a:solidFill>
                  <a:srgbClr val="000000"/>
                </a:solidFill>
                <a:latin typeface="Arial"/>
                <a:ea typeface="Arial"/>
                <a:cs typeface="Arial"/>
              </a:rPr>
              <a:t>Trust score compared to oterh Trusts within same SHA</a:t>
            </a:r>
          </a:p>
        </c:rich>
      </c:tx>
      <c:layout/>
      <c:spPr>
        <a:noFill/>
        <a:ln>
          <a:noFill/>
        </a:ln>
      </c:spPr>
    </c:title>
    <c:plotArea>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'historical data'!#REF!</c:f>
            </c:numRef>
          </c:val>
        </c:ser>
        <c:axId val="10998573"/>
        <c:axId val="31878294"/>
      </c:barChart>
      <c:catAx>
        <c:axId val="10998573"/>
        <c:scaling>
          <c:orientation val="minMax"/>
        </c:scaling>
        <c:axPos val="b"/>
        <c:delete val="0"/>
        <c:numFmt formatCode="General" sourceLinked="1"/>
        <c:majorTickMark val="out"/>
        <c:minorTickMark val="none"/>
        <c:tickLblPos val="nextTo"/>
        <c:spPr>
          <a:ln w="3175">
            <a:solidFill>
              <a:srgbClr val="000000"/>
            </a:solidFill>
          </a:ln>
        </c:spPr>
        <c:crossAx val="31878294"/>
        <c:crosses val="autoZero"/>
        <c:auto val="1"/>
        <c:lblOffset val="100"/>
        <c:tickLblSkip val="1"/>
        <c:noMultiLvlLbl val="0"/>
      </c:catAx>
      <c:valAx>
        <c:axId val="31878294"/>
        <c:scaling>
          <c:orientation val="minMax"/>
        </c:scaling>
        <c:axPos val="l"/>
        <c:title>
          <c:tx>
            <c:rich>
              <a:bodyPr vert="horz" rot="-5400000" anchor="ctr"/>
              <a:lstStyle/>
              <a:p>
                <a:pPr algn="ctr">
                  <a:defRPr/>
                </a:pPr>
                <a:r>
                  <a:rPr lang="en-US" cap="none" sz="175" b="1" i="0" u="none" baseline="0">
                    <a:solidFill>
                      <a:srgbClr val="000000"/>
                    </a:solidFill>
                    <a:latin typeface="Arial"/>
                    <a:ea typeface="Arial"/>
                    <a:cs typeface="Arial"/>
                  </a:rPr>
                  <a:t>CQUIN Score (out of 100)</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0998573"/>
        <c:crossesAt val="1"/>
        <c:crossBetween val="between"/>
        <c:dispUnits/>
      </c:valAx>
      <c:spPr>
        <a:solidFill>
          <a:srgbClr val="C0C0C0"/>
        </a:solidFill>
        <a:ln w="12700">
          <a:solidFill>
            <a:srgbClr val="808080"/>
          </a:solidFill>
        </a:ln>
      </c:spPr>
    </c:plotArea>
    <c:legend>
      <c:legendPos val="t"/>
      <c:layout/>
      <c:overlay val="0"/>
      <c:spPr>
        <a:solidFill>
          <a:srgbClr val="FFFFFF"/>
        </a:solidFill>
        <a:ln w="3175">
          <a:solidFill>
            <a:srgbClr val="000000"/>
          </a:solidFill>
        </a:ln>
      </c:spPr>
      <c:txPr>
        <a:bodyPr vert="horz" rot="0"/>
        <a:lstStyle/>
        <a:p>
          <a:pPr>
            <a:defRPr lang="en-US" cap="none" sz="14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75" b="0" i="0" u="none" baseline="0">
          <a:solidFill>
            <a:srgbClr val="000000"/>
          </a:solidFill>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1" i="0" u="none" baseline="0">
                <a:solidFill>
                  <a:srgbClr val="000000"/>
                </a:solidFill>
                <a:latin typeface="Arial"/>
                <a:ea typeface="Arial"/>
                <a:cs typeface="Arial"/>
              </a:rPr>
              <a:t>Trust score compared to oterh Trusts within same SHA</a:t>
            </a:r>
          </a:p>
        </c:rich>
      </c:tx>
      <c:layout/>
      <c:spPr>
        <a:noFill/>
        <a:ln>
          <a:noFill/>
        </a:ln>
      </c:spPr>
    </c:title>
    <c:plotArea>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'historical data'!#REF!</c:f>
            </c:numRef>
          </c:val>
        </c:ser>
        <c:axId val="18469191"/>
        <c:axId val="32004992"/>
      </c:barChart>
      <c:catAx>
        <c:axId val="18469191"/>
        <c:scaling>
          <c:orientation val="minMax"/>
        </c:scaling>
        <c:axPos val="b"/>
        <c:delete val="0"/>
        <c:numFmt formatCode="General" sourceLinked="1"/>
        <c:majorTickMark val="out"/>
        <c:minorTickMark val="none"/>
        <c:tickLblPos val="nextTo"/>
        <c:spPr>
          <a:ln w="3175">
            <a:solidFill>
              <a:srgbClr val="000000"/>
            </a:solidFill>
          </a:ln>
        </c:spPr>
        <c:crossAx val="32004992"/>
        <c:crosses val="autoZero"/>
        <c:auto val="1"/>
        <c:lblOffset val="100"/>
        <c:tickLblSkip val="1"/>
        <c:noMultiLvlLbl val="0"/>
      </c:catAx>
      <c:valAx>
        <c:axId val="32004992"/>
        <c:scaling>
          <c:orientation val="minMax"/>
        </c:scaling>
        <c:axPos val="l"/>
        <c:title>
          <c:tx>
            <c:rich>
              <a:bodyPr vert="horz" rot="-5400000" anchor="ctr"/>
              <a:lstStyle/>
              <a:p>
                <a:pPr algn="ctr">
                  <a:defRPr/>
                </a:pPr>
                <a:r>
                  <a:rPr lang="en-US" cap="none" sz="175" b="1" i="0" u="none" baseline="0">
                    <a:solidFill>
                      <a:srgbClr val="000000"/>
                    </a:solidFill>
                    <a:latin typeface="Arial"/>
                    <a:ea typeface="Arial"/>
                    <a:cs typeface="Arial"/>
                  </a:rPr>
                  <a:t>CQUIN Score (out of 100)</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8469191"/>
        <c:crossesAt val="1"/>
        <c:crossBetween val="between"/>
        <c:dispUnits/>
      </c:valAx>
      <c:spPr>
        <a:solidFill>
          <a:srgbClr val="C0C0C0"/>
        </a:solidFill>
        <a:ln w="12700">
          <a:solidFill>
            <a:srgbClr val="808080"/>
          </a:solidFill>
        </a:ln>
      </c:spPr>
    </c:plotArea>
    <c:legend>
      <c:legendPos val="t"/>
      <c:layout/>
      <c:overlay val="0"/>
      <c:spPr>
        <a:solidFill>
          <a:srgbClr val="FFFFFF"/>
        </a:solidFill>
        <a:ln w="3175">
          <a:solidFill>
            <a:srgbClr val="000000"/>
          </a:solidFill>
        </a:ln>
      </c:spPr>
      <c:txPr>
        <a:bodyPr vert="horz" rot="0"/>
        <a:lstStyle/>
        <a:p>
          <a:pPr>
            <a:defRPr lang="en-US" cap="none" sz="14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75" b="0" i="0" u="none" baseline="0">
          <a:solidFill>
            <a:srgbClr val="000000"/>
          </a:solidFill>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1" i="0" u="none" baseline="0">
                <a:solidFill>
                  <a:srgbClr val="000000"/>
                </a:solidFill>
                <a:latin typeface="Arial"/>
                <a:ea typeface="Arial"/>
                <a:cs typeface="Arial"/>
              </a:rPr>
              <a:t>Trust score compared to oterh Trusts within same SHA</a:t>
            </a:r>
          </a:p>
        </c:rich>
      </c:tx>
      <c:layout/>
      <c:spPr>
        <a:noFill/>
        <a:ln>
          <a:noFill/>
        </a:ln>
      </c:spPr>
    </c:title>
    <c:plotArea>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'historical data'!#REF!</c:f>
            </c:numRef>
          </c:val>
        </c:ser>
        <c:axId val="19609473"/>
        <c:axId val="42267530"/>
      </c:barChart>
      <c:catAx>
        <c:axId val="19609473"/>
        <c:scaling>
          <c:orientation val="minMax"/>
        </c:scaling>
        <c:axPos val="b"/>
        <c:delete val="0"/>
        <c:numFmt formatCode="General" sourceLinked="1"/>
        <c:majorTickMark val="out"/>
        <c:minorTickMark val="none"/>
        <c:tickLblPos val="nextTo"/>
        <c:spPr>
          <a:ln w="3175">
            <a:solidFill>
              <a:srgbClr val="000000"/>
            </a:solidFill>
          </a:ln>
        </c:spPr>
        <c:crossAx val="42267530"/>
        <c:crosses val="autoZero"/>
        <c:auto val="1"/>
        <c:lblOffset val="100"/>
        <c:tickLblSkip val="1"/>
        <c:noMultiLvlLbl val="0"/>
      </c:catAx>
      <c:valAx>
        <c:axId val="42267530"/>
        <c:scaling>
          <c:orientation val="minMax"/>
        </c:scaling>
        <c:axPos val="l"/>
        <c:title>
          <c:tx>
            <c:rich>
              <a:bodyPr vert="horz" rot="-5400000" anchor="ctr"/>
              <a:lstStyle/>
              <a:p>
                <a:pPr algn="ctr">
                  <a:defRPr/>
                </a:pPr>
                <a:r>
                  <a:rPr lang="en-US" cap="none" sz="175" b="1" i="0" u="none" baseline="0">
                    <a:solidFill>
                      <a:srgbClr val="000000"/>
                    </a:solidFill>
                    <a:latin typeface="Arial"/>
                    <a:ea typeface="Arial"/>
                    <a:cs typeface="Arial"/>
                  </a:rPr>
                  <a:t>CQUIN Score (out of 100)</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9609473"/>
        <c:crossesAt val="1"/>
        <c:crossBetween val="between"/>
        <c:dispUnits/>
      </c:valAx>
      <c:spPr>
        <a:solidFill>
          <a:srgbClr val="C0C0C0"/>
        </a:solidFill>
        <a:ln w="12700">
          <a:solidFill>
            <a:srgbClr val="808080"/>
          </a:solidFill>
        </a:ln>
      </c:spPr>
    </c:plotArea>
    <c:legend>
      <c:legendPos val="t"/>
      <c:layout/>
      <c:overlay val="0"/>
      <c:spPr>
        <a:solidFill>
          <a:srgbClr val="FFFFFF"/>
        </a:solidFill>
        <a:ln w="3175">
          <a:solidFill>
            <a:srgbClr val="000000"/>
          </a:solidFill>
        </a:ln>
      </c:spPr>
      <c:txPr>
        <a:bodyPr vert="horz" rot="0"/>
        <a:lstStyle/>
        <a:p>
          <a:pPr>
            <a:defRPr lang="en-US" cap="none" sz="14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75" b="0" i="0" u="none" baseline="0">
          <a:solidFill>
            <a:srgbClr val="000000"/>
          </a:solidFill>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1" i="0" u="none" baseline="0">
                <a:solidFill>
                  <a:srgbClr val="000000"/>
                </a:solidFill>
                <a:latin typeface="Arial"/>
                <a:ea typeface="Arial"/>
                <a:cs typeface="Arial"/>
              </a:rPr>
              <a:t>Trust score compared to oterh Trusts within same SHA</a:t>
            </a:r>
          </a:p>
        </c:rich>
      </c:tx>
      <c:layout/>
      <c:spPr>
        <a:noFill/>
        <a:ln>
          <a:noFill/>
        </a:ln>
      </c:spPr>
    </c:title>
    <c:plotArea>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'historical data'!#REF!</c:f>
            </c:numRef>
          </c:val>
        </c:ser>
        <c:axId val="44863451"/>
        <c:axId val="1117876"/>
      </c:barChart>
      <c:catAx>
        <c:axId val="44863451"/>
        <c:scaling>
          <c:orientation val="minMax"/>
        </c:scaling>
        <c:axPos val="b"/>
        <c:delete val="0"/>
        <c:numFmt formatCode="General" sourceLinked="1"/>
        <c:majorTickMark val="out"/>
        <c:minorTickMark val="none"/>
        <c:tickLblPos val="nextTo"/>
        <c:spPr>
          <a:ln w="3175">
            <a:solidFill>
              <a:srgbClr val="000000"/>
            </a:solidFill>
          </a:ln>
        </c:spPr>
        <c:crossAx val="1117876"/>
        <c:crosses val="autoZero"/>
        <c:auto val="1"/>
        <c:lblOffset val="100"/>
        <c:tickLblSkip val="1"/>
        <c:noMultiLvlLbl val="0"/>
      </c:catAx>
      <c:valAx>
        <c:axId val="1117876"/>
        <c:scaling>
          <c:orientation val="minMax"/>
        </c:scaling>
        <c:axPos val="l"/>
        <c:title>
          <c:tx>
            <c:rich>
              <a:bodyPr vert="horz" rot="-5400000" anchor="ctr"/>
              <a:lstStyle/>
              <a:p>
                <a:pPr algn="ctr">
                  <a:defRPr/>
                </a:pPr>
                <a:r>
                  <a:rPr lang="en-US" cap="none" sz="175" b="1" i="0" u="none" baseline="0">
                    <a:solidFill>
                      <a:srgbClr val="000000"/>
                    </a:solidFill>
                    <a:latin typeface="Arial"/>
                    <a:ea typeface="Arial"/>
                    <a:cs typeface="Arial"/>
                  </a:rPr>
                  <a:t>CQUIN Score (out of 100)</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4863451"/>
        <c:crossesAt val="1"/>
        <c:crossBetween val="between"/>
        <c:dispUnits/>
      </c:valAx>
      <c:spPr>
        <a:solidFill>
          <a:srgbClr val="C0C0C0"/>
        </a:solidFill>
        <a:ln w="12700">
          <a:solidFill>
            <a:srgbClr val="808080"/>
          </a:solidFill>
        </a:ln>
      </c:spPr>
    </c:plotArea>
    <c:legend>
      <c:legendPos val="t"/>
      <c:layout/>
      <c:overlay val="0"/>
      <c:spPr>
        <a:solidFill>
          <a:srgbClr val="FFFFFF"/>
        </a:solidFill>
        <a:ln w="3175">
          <a:solidFill>
            <a:srgbClr val="000000"/>
          </a:solidFill>
        </a:ln>
      </c:spPr>
      <c:txPr>
        <a:bodyPr vert="horz" rot="0"/>
        <a:lstStyle/>
        <a:p>
          <a:pPr>
            <a:defRPr lang="en-US" cap="none" sz="14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75" b="0" i="0" u="none" baseline="0">
          <a:solidFill>
            <a:srgbClr val="000000"/>
          </a:solidFill>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1" i="0" u="none" baseline="0">
                <a:solidFill>
                  <a:srgbClr val="000000"/>
                </a:solidFill>
                <a:latin typeface="Arial"/>
                <a:ea typeface="Arial"/>
                <a:cs typeface="Arial"/>
              </a:rPr>
              <a:t>Trust score compared to oterh Trusts within same SHA</a:t>
            </a:r>
          </a:p>
        </c:rich>
      </c:tx>
      <c:layout/>
      <c:spPr>
        <a:noFill/>
        <a:ln>
          <a:noFill/>
        </a:ln>
      </c:spPr>
    </c:title>
    <c:plotArea>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'historical data'!#REF!</c:f>
            </c:numRef>
          </c:val>
        </c:ser>
        <c:axId val="10060885"/>
        <c:axId val="23439102"/>
      </c:barChart>
      <c:catAx>
        <c:axId val="10060885"/>
        <c:scaling>
          <c:orientation val="minMax"/>
        </c:scaling>
        <c:axPos val="b"/>
        <c:delete val="0"/>
        <c:numFmt formatCode="General" sourceLinked="1"/>
        <c:majorTickMark val="out"/>
        <c:minorTickMark val="none"/>
        <c:tickLblPos val="nextTo"/>
        <c:spPr>
          <a:ln w="3175">
            <a:solidFill>
              <a:srgbClr val="000000"/>
            </a:solidFill>
          </a:ln>
        </c:spPr>
        <c:crossAx val="23439102"/>
        <c:crosses val="autoZero"/>
        <c:auto val="1"/>
        <c:lblOffset val="100"/>
        <c:tickLblSkip val="2"/>
        <c:noMultiLvlLbl val="0"/>
      </c:catAx>
      <c:valAx>
        <c:axId val="23439102"/>
        <c:scaling>
          <c:orientation val="minMax"/>
        </c:scaling>
        <c:axPos val="l"/>
        <c:title>
          <c:tx>
            <c:rich>
              <a:bodyPr vert="horz" rot="-5400000" anchor="ctr"/>
              <a:lstStyle/>
              <a:p>
                <a:pPr algn="ctr">
                  <a:defRPr/>
                </a:pPr>
                <a:r>
                  <a:rPr lang="en-US" cap="none" sz="175" b="1" i="0" u="none" baseline="0">
                    <a:solidFill>
                      <a:srgbClr val="000000"/>
                    </a:solidFill>
                    <a:latin typeface="Arial"/>
                    <a:ea typeface="Arial"/>
                    <a:cs typeface="Arial"/>
                  </a:rPr>
                  <a:t>CQUIN Score (out of 100)</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0060885"/>
        <c:crossesAt val="1"/>
        <c:crossBetween val="between"/>
        <c:dispUnits/>
      </c:valAx>
      <c:spPr>
        <a:solidFill>
          <a:srgbClr val="C0C0C0"/>
        </a:solidFill>
        <a:ln w="12700">
          <a:solidFill>
            <a:srgbClr val="808080"/>
          </a:solidFill>
        </a:ln>
      </c:spPr>
    </c:plotArea>
    <c:legend>
      <c:legendPos val="t"/>
      <c:layout/>
      <c:overlay val="0"/>
      <c:spPr>
        <a:solidFill>
          <a:srgbClr val="FFFFFF"/>
        </a:solidFill>
        <a:ln w="3175">
          <a:solidFill>
            <a:srgbClr val="000000"/>
          </a:solidFill>
        </a:ln>
      </c:spPr>
      <c:txPr>
        <a:bodyPr vert="horz" rot="0"/>
        <a:lstStyle/>
        <a:p>
          <a:pPr>
            <a:defRPr lang="en-US" cap="none" sz="14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7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1" i="0" u="none" baseline="0">
                <a:solidFill>
                  <a:srgbClr val="000000"/>
                </a:solidFill>
                <a:latin typeface="Arial"/>
                <a:ea typeface="Arial"/>
                <a:cs typeface="Arial"/>
              </a:rPr>
              <a:t>Trust score compared to other Trusts within same SHA</a:t>
            </a:r>
          </a:p>
        </c:rich>
      </c:tx>
      <c:layout/>
      <c:spPr>
        <a:noFill/>
        <a:ln>
          <a:noFill/>
        </a:ln>
      </c:spPr>
    </c:title>
    <c:plotArea>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'SHA cluster table data'!#REF!</c:f>
            </c:numRef>
          </c:val>
        </c:ser>
        <c:axId val="16918843"/>
        <c:axId val="18051860"/>
      </c:barChart>
      <c:catAx>
        <c:axId val="16918843"/>
        <c:scaling>
          <c:orientation val="minMax"/>
        </c:scaling>
        <c:axPos val="b"/>
        <c:delete val="0"/>
        <c:numFmt formatCode="General" sourceLinked="1"/>
        <c:majorTickMark val="out"/>
        <c:minorTickMark val="none"/>
        <c:tickLblPos val="nextTo"/>
        <c:spPr>
          <a:ln w="3175">
            <a:solidFill>
              <a:srgbClr val="000000"/>
            </a:solidFill>
          </a:ln>
        </c:spPr>
        <c:crossAx val="18051860"/>
        <c:crosses val="autoZero"/>
        <c:auto val="1"/>
        <c:lblOffset val="100"/>
        <c:tickLblSkip val="3"/>
        <c:noMultiLvlLbl val="0"/>
      </c:catAx>
      <c:valAx>
        <c:axId val="18051860"/>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6918843"/>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1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1" i="0" u="none" baseline="0">
                <a:solidFill>
                  <a:srgbClr val="000000"/>
                </a:solidFill>
                <a:latin typeface="Arial"/>
                <a:ea typeface="Arial"/>
                <a:cs typeface="Arial"/>
              </a:rPr>
              <a:t>Trust score compared to oterh Trusts within same SHA</a:t>
            </a:r>
          </a:p>
        </c:rich>
      </c:tx>
      <c:layout/>
      <c:spPr>
        <a:noFill/>
        <a:ln>
          <a:noFill/>
        </a:ln>
      </c:spPr>
    </c:title>
    <c:plotArea>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'historical data'!#REF!</c:f>
            </c:numRef>
          </c:val>
        </c:ser>
        <c:axId val="9625327"/>
        <c:axId val="19519080"/>
      </c:barChart>
      <c:catAx>
        <c:axId val="9625327"/>
        <c:scaling>
          <c:orientation val="minMax"/>
        </c:scaling>
        <c:axPos val="b"/>
        <c:delete val="0"/>
        <c:numFmt formatCode="General" sourceLinked="1"/>
        <c:majorTickMark val="out"/>
        <c:minorTickMark val="none"/>
        <c:tickLblPos val="nextTo"/>
        <c:spPr>
          <a:ln w="3175">
            <a:solidFill>
              <a:srgbClr val="000000"/>
            </a:solidFill>
          </a:ln>
        </c:spPr>
        <c:crossAx val="19519080"/>
        <c:crosses val="autoZero"/>
        <c:auto val="1"/>
        <c:lblOffset val="100"/>
        <c:tickLblSkip val="1"/>
        <c:noMultiLvlLbl val="0"/>
      </c:catAx>
      <c:valAx>
        <c:axId val="19519080"/>
        <c:scaling>
          <c:orientation val="minMax"/>
        </c:scaling>
        <c:axPos val="l"/>
        <c:title>
          <c:tx>
            <c:rich>
              <a:bodyPr vert="horz" rot="-5400000" anchor="ctr"/>
              <a:lstStyle/>
              <a:p>
                <a:pPr algn="ctr">
                  <a:defRPr/>
                </a:pPr>
                <a:r>
                  <a:rPr lang="en-US" cap="none" sz="175" b="1" i="0" u="none" baseline="0">
                    <a:solidFill>
                      <a:srgbClr val="000000"/>
                    </a:solidFill>
                    <a:latin typeface="Arial"/>
                    <a:ea typeface="Arial"/>
                    <a:cs typeface="Arial"/>
                  </a:rPr>
                  <a:t>CQUIN Score (out of 100)</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9625327"/>
        <c:crossesAt val="1"/>
        <c:crossBetween val="between"/>
        <c:dispUnits/>
      </c:valAx>
      <c:spPr>
        <a:solidFill>
          <a:srgbClr val="C0C0C0"/>
        </a:solidFill>
        <a:ln w="12700">
          <a:solidFill>
            <a:srgbClr val="808080"/>
          </a:solidFill>
        </a:ln>
      </c:spPr>
    </c:plotArea>
    <c:legend>
      <c:legendPos val="t"/>
      <c:layout/>
      <c:overlay val="0"/>
      <c:spPr>
        <a:solidFill>
          <a:srgbClr val="FFFFFF"/>
        </a:solidFill>
        <a:ln w="3175">
          <a:solidFill>
            <a:srgbClr val="000000"/>
          </a:solidFill>
        </a:ln>
      </c:spPr>
      <c:txPr>
        <a:bodyPr vert="horz" rot="0"/>
        <a:lstStyle/>
        <a:p>
          <a:pPr>
            <a:defRPr lang="en-US" cap="none" sz="14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75" b="0" i="0" u="none" baseline="0">
          <a:solidFill>
            <a:srgbClr val="000000"/>
          </a:solidFill>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1" i="0" u="none" baseline="0">
                <a:solidFill>
                  <a:srgbClr val="000000"/>
                </a:solidFill>
                <a:latin typeface="Arial"/>
                <a:ea typeface="Arial"/>
                <a:cs typeface="Arial"/>
              </a:rPr>
              <a:t>Trust score compared to oterh Trusts within same SHA</a:t>
            </a:r>
          </a:p>
        </c:rich>
      </c:tx>
      <c:layout/>
      <c:spPr>
        <a:noFill/>
        <a:ln>
          <a:noFill/>
        </a:ln>
      </c:spPr>
    </c:title>
    <c:plotArea>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'historical data'!#REF!</c:f>
            </c:numRef>
          </c:val>
        </c:ser>
        <c:axId val="41453993"/>
        <c:axId val="37541618"/>
      </c:barChart>
      <c:catAx>
        <c:axId val="41453993"/>
        <c:scaling>
          <c:orientation val="minMax"/>
        </c:scaling>
        <c:axPos val="b"/>
        <c:delete val="0"/>
        <c:numFmt formatCode="General" sourceLinked="1"/>
        <c:majorTickMark val="out"/>
        <c:minorTickMark val="none"/>
        <c:tickLblPos val="nextTo"/>
        <c:spPr>
          <a:ln w="3175">
            <a:solidFill>
              <a:srgbClr val="000000"/>
            </a:solidFill>
          </a:ln>
        </c:spPr>
        <c:crossAx val="37541618"/>
        <c:crosses val="autoZero"/>
        <c:auto val="1"/>
        <c:lblOffset val="100"/>
        <c:tickLblSkip val="1"/>
        <c:noMultiLvlLbl val="0"/>
      </c:catAx>
      <c:valAx>
        <c:axId val="37541618"/>
        <c:scaling>
          <c:orientation val="minMax"/>
        </c:scaling>
        <c:axPos val="l"/>
        <c:title>
          <c:tx>
            <c:rich>
              <a:bodyPr vert="horz" rot="-5400000" anchor="ctr"/>
              <a:lstStyle/>
              <a:p>
                <a:pPr algn="ctr">
                  <a:defRPr/>
                </a:pPr>
                <a:r>
                  <a:rPr lang="en-US" cap="none" sz="175" b="1" i="0" u="none" baseline="0">
                    <a:solidFill>
                      <a:srgbClr val="000000"/>
                    </a:solidFill>
                    <a:latin typeface="Arial"/>
                    <a:ea typeface="Arial"/>
                    <a:cs typeface="Arial"/>
                  </a:rPr>
                  <a:t>CQUIN Score (out of 100)</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1453993"/>
        <c:crossesAt val="1"/>
        <c:crossBetween val="between"/>
        <c:dispUnits/>
      </c:valAx>
      <c:spPr>
        <a:solidFill>
          <a:srgbClr val="C0C0C0"/>
        </a:solidFill>
        <a:ln w="12700">
          <a:solidFill>
            <a:srgbClr val="808080"/>
          </a:solidFill>
        </a:ln>
      </c:spPr>
    </c:plotArea>
    <c:legend>
      <c:legendPos val="t"/>
      <c:layout/>
      <c:overlay val="0"/>
      <c:spPr>
        <a:solidFill>
          <a:srgbClr val="FFFFFF"/>
        </a:solidFill>
        <a:ln w="3175">
          <a:solidFill>
            <a:srgbClr val="000000"/>
          </a:solidFill>
        </a:ln>
      </c:spPr>
      <c:txPr>
        <a:bodyPr vert="horz" rot="0"/>
        <a:lstStyle/>
        <a:p>
          <a:pPr>
            <a:defRPr lang="en-US" cap="none" sz="14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75" b="0" i="0" u="none" baseline="0">
          <a:solidFill>
            <a:srgbClr val="000000"/>
          </a:solidFill>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1" i="0" u="none" baseline="0">
                <a:solidFill>
                  <a:srgbClr val="000000"/>
                </a:solidFill>
                <a:latin typeface="Arial"/>
                <a:ea typeface="Arial"/>
                <a:cs typeface="Arial"/>
              </a:rPr>
              <a:t>Trust score compared to other Trusts within same SHA</a:t>
            </a:r>
          </a:p>
        </c:rich>
      </c:tx>
      <c:layout/>
      <c:spPr>
        <a:noFill/>
        <a:ln>
          <a:noFill/>
        </a:ln>
      </c:spPr>
    </c:title>
    <c:plotArea>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Lit>
              <c:ptCount val="9"/>
              <c:pt idx="0">
                <c:v>58.998279230772845</c:v>
              </c:pt>
              <c:pt idx="1">
                <c:v>61.34910200586086</c:v>
              </c:pt>
              <c:pt idx="2">
                <c:v>61.42376796038788</c:v>
              </c:pt>
              <c:pt idx="3">
                <c:v>62.92198929762291</c:v>
              </c:pt>
              <c:pt idx="4">
                <c:v>63.470192369312464</c:v>
              </c:pt>
              <c:pt idx="5">
                <c:v>63.74585599548826</c:v>
              </c:pt>
              <c:pt idx="6">
                <c:v>64.08498854664553</c:v>
              </c:pt>
              <c:pt idx="7">
                <c:v>64.39412251979074</c:v>
              </c:pt>
              <c:pt idx="8">
                <c:v>64.46697448473176</c:v>
              </c:pt>
            </c:numLit>
          </c:val>
        </c:ser>
        <c:axId val="2330243"/>
        <c:axId val="20972188"/>
      </c:barChart>
      <c:catAx>
        <c:axId val="2330243"/>
        <c:scaling>
          <c:orientation val="minMax"/>
        </c:scaling>
        <c:axPos val="b"/>
        <c:delete val="0"/>
        <c:numFmt formatCode="General" sourceLinked="1"/>
        <c:majorTickMark val="out"/>
        <c:minorTickMark val="none"/>
        <c:tickLblPos val="nextTo"/>
        <c:spPr>
          <a:ln w="3175">
            <a:solidFill>
              <a:srgbClr val="000000"/>
            </a:solidFill>
          </a:ln>
        </c:spPr>
        <c:crossAx val="20972188"/>
        <c:crosses val="autoZero"/>
        <c:auto val="1"/>
        <c:lblOffset val="100"/>
        <c:tickLblSkip val="3"/>
        <c:noMultiLvlLbl val="0"/>
      </c:catAx>
      <c:valAx>
        <c:axId val="20972188"/>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330243"/>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1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latin typeface="Arial"/>
          <a:ea typeface="Arial"/>
          <a:cs typeface="Aria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75" b="1" i="0" u="none" baseline="0">
                <a:solidFill>
                  <a:srgbClr val="000000"/>
                </a:solidFill>
                <a:latin typeface="Arial"/>
                <a:ea typeface="Arial"/>
                <a:cs typeface="Arial"/>
              </a:rPr>
              <a:t>Trust score compared to other Trusts within same SHA (CQUIN 2010 scores based on Adult 2010 Inpatient Survey data)
</a:t>
            </a:r>
          </a:p>
        </c:rich>
      </c:tx>
      <c:layout/>
      <c:spPr>
        <a:noFill/>
        <a:ln>
          <a:noFill/>
        </a:ln>
      </c:spPr>
    </c:title>
    <c:plotArea>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Lit>
              <c:ptCount val="9"/>
              <c:pt idx="0">
                <c:v>58.998279230772845</c:v>
              </c:pt>
              <c:pt idx="1">
                <c:v>61.34910200586086</c:v>
              </c:pt>
              <c:pt idx="2">
                <c:v>61.42376796038788</c:v>
              </c:pt>
              <c:pt idx="3">
                <c:v>62.92198929762291</c:v>
              </c:pt>
              <c:pt idx="4">
                <c:v>63.470192369312464</c:v>
              </c:pt>
              <c:pt idx="5">
                <c:v>63.74585599548826</c:v>
              </c:pt>
              <c:pt idx="6">
                <c:v>64.08498854664553</c:v>
              </c:pt>
              <c:pt idx="7">
                <c:v>64.39412251979074</c:v>
              </c:pt>
              <c:pt idx="8">
                <c:v>64.46697448473176</c:v>
              </c:pt>
            </c:numLit>
          </c:val>
        </c:ser>
        <c:axId val="54531965"/>
        <c:axId val="21025638"/>
      </c:barChart>
      <c:catAx>
        <c:axId val="54531965"/>
        <c:scaling>
          <c:orientation val="minMax"/>
        </c:scaling>
        <c:axPos val="b"/>
        <c:title>
          <c:tx>
            <c:rich>
              <a:bodyPr vert="horz" rot="0" anchor="ctr"/>
              <a:lstStyle/>
              <a:p>
                <a:pPr algn="ctr">
                  <a:defRPr/>
                </a:pPr>
                <a:r>
                  <a:rPr lang="en-US" cap="none" sz="150" b="1" i="0" u="none" baseline="0">
                    <a:solidFill>
                      <a:srgbClr val="000000"/>
                    </a:solidFill>
                    <a:latin typeface="Arial"/>
                    <a:ea typeface="Arial"/>
                    <a:cs typeface="Arial"/>
                  </a:rPr>
                  <a:t>Trust</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21025638"/>
        <c:crosses val="autoZero"/>
        <c:auto val="1"/>
        <c:lblOffset val="100"/>
        <c:tickLblSkip val="2"/>
        <c:noMultiLvlLbl val="0"/>
      </c:catAx>
      <c:valAx>
        <c:axId val="21025638"/>
        <c:scaling>
          <c:orientation val="minMax"/>
        </c:scaling>
        <c:axPos val="l"/>
        <c:title>
          <c:tx>
            <c:rich>
              <a:bodyPr vert="horz" rot="-5400000" anchor="ctr"/>
              <a:lstStyle/>
              <a:p>
                <a:pPr algn="ctr">
                  <a:defRPr/>
                </a:pPr>
                <a:r>
                  <a:rPr lang="en-US" cap="none" sz="150" b="1" i="0" u="none" baseline="0">
                    <a:solidFill>
                      <a:srgbClr val="000000"/>
                    </a:solidFill>
                    <a:latin typeface="Arial"/>
                    <a:ea typeface="Arial"/>
                    <a:cs typeface="Arial"/>
                  </a:rPr>
                  <a:t>CQUIN score (out of 100)</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4531965"/>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latin typeface="Arial"/>
          <a:ea typeface="Arial"/>
          <a:cs typeface="Aria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75" b="1" i="0" u="none" baseline="0">
                <a:solidFill>
                  <a:srgbClr val="000000"/>
                </a:solidFill>
                <a:latin typeface="Arial"/>
                <a:ea typeface="Arial"/>
                <a:cs typeface="Arial"/>
              </a:rPr>
              <a:t>Trust score compared to other Trusts within same SHA (CQUIN 2010 scores based on Adult 2010 Inpatient Survey data)
</a:t>
            </a:r>
          </a:p>
        </c:rich>
      </c:tx>
      <c:layout/>
      <c:spPr>
        <a:noFill/>
        <a:ln>
          <a:noFill/>
        </a:ln>
      </c:spPr>
    </c:title>
    <c:plotArea>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Lit>
              <c:ptCount val="9"/>
              <c:pt idx="0">
                <c:v>58.998279230772845</c:v>
              </c:pt>
              <c:pt idx="1">
                <c:v>61.34910200586086</c:v>
              </c:pt>
              <c:pt idx="2">
                <c:v>61.42376796038788</c:v>
              </c:pt>
              <c:pt idx="3">
                <c:v>62.92198929762291</c:v>
              </c:pt>
              <c:pt idx="4">
                <c:v>63.470192369312464</c:v>
              </c:pt>
              <c:pt idx="5">
                <c:v>63.74585599548826</c:v>
              </c:pt>
              <c:pt idx="6">
                <c:v>64.08498854664553</c:v>
              </c:pt>
              <c:pt idx="7">
                <c:v>64.39412251979074</c:v>
              </c:pt>
              <c:pt idx="8">
                <c:v>64.46697448473176</c:v>
              </c:pt>
            </c:numLit>
          </c:val>
        </c:ser>
        <c:axId val="55013015"/>
        <c:axId val="25355088"/>
      </c:barChart>
      <c:catAx>
        <c:axId val="55013015"/>
        <c:scaling>
          <c:orientation val="minMax"/>
        </c:scaling>
        <c:axPos val="b"/>
        <c:title>
          <c:tx>
            <c:rich>
              <a:bodyPr vert="horz" rot="0" anchor="ctr"/>
              <a:lstStyle/>
              <a:p>
                <a:pPr algn="ctr">
                  <a:defRPr/>
                </a:pPr>
                <a:r>
                  <a:rPr lang="en-US" cap="none" sz="150" b="1" i="0" u="none" baseline="0">
                    <a:solidFill>
                      <a:srgbClr val="000000"/>
                    </a:solidFill>
                    <a:latin typeface="Arial"/>
                    <a:ea typeface="Arial"/>
                    <a:cs typeface="Arial"/>
                  </a:rPr>
                  <a:t>Trust</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25355088"/>
        <c:crosses val="autoZero"/>
        <c:auto val="1"/>
        <c:lblOffset val="100"/>
        <c:tickLblSkip val="2"/>
        <c:noMultiLvlLbl val="0"/>
      </c:catAx>
      <c:valAx>
        <c:axId val="25355088"/>
        <c:scaling>
          <c:orientation val="minMax"/>
        </c:scaling>
        <c:axPos val="l"/>
        <c:title>
          <c:tx>
            <c:rich>
              <a:bodyPr vert="horz" rot="-5400000" anchor="ctr"/>
              <a:lstStyle/>
              <a:p>
                <a:pPr algn="ctr">
                  <a:defRPr/>
                </a:pPr>
                <a:r>
                  <a:rPr lang="en-US" cap="none" sz="150" b="1" i="0" u="none" baseline="0">
                    <a:solidFill>
                      <a:srgbClr val="000000"/>
                    </a:solidFill>
                    <a:latin typeface="Arial"/>
                    <a:ea typeface="Arial"/>
                    <a:cs typeface="Arial"/>
                  </a:rPr>
                  <a:t>CQUIN score (out of 100)</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5013015"/>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latin typeface="Arial"/>
          <a:ea typeface="Arial"/>
          <a:cs typeface="Aria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75" b="1" i="0" u="none" baseline="0">
                <a:solidFill>
                  <a:srgbClr val="000000"/>
                </a:solidFill>
                <a:latin typeface="Arial"/>
                <a:ea typeface="Arial"/>
                <a:cs typeface="Arial"/>
              </a:rPr>
              <a:t>Trust score compared to other Trusts within same SHA (CQUIN 2010 scores based on Adult 2010 Inpatient Survey data)
</a:t>
            </a:r>
          </a:p>
        </c:rich>
      </c:tx>
      <c:layout/>
      <c:spPr>
        <a:noFill/>
        <a:ln>
          <a:noFill/>
        </a:ln>
      </c:spPr>
    </c:title>
    <c:plotArea>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Lit>
              <c:ptCount val="9"/>
              <c:pt idx="0">
                <c:v>58.998279230772845</c:v>
              </c:pt>
              <c:pt idx="1">
                <c:v>61.34910200586086</c:v>
              </c:pt>
              <c:pt idx="2">
                <c:v>61.42376796038788</c:v>
              </c:pt>
              <c:pt idx="3">
                <c:v>62.92198929762291</c:v>
              </c:pt>
              <c:pt idx="4">
                <c:v>63.470192369312464</c:v>
              </c:pt>
              <c:pt idx="5">
                <c:v>63.74585599548826</c:v>
              </c:pt>
              <c:pt idx="6">
                <c:v>64.08498854664553</c:v>
              </c:pt>
              <c:pt idx="7">
                <c:v>64.39412251979074</c:v>
              </c:pt>
              <c:pt idx="8">
                <c:v>64.46697448473176</c:v>
              </c:pt>
            </c:numLit>
          </c:val>
        </c:ser>
        <c:axId val="26869201"/>
        <c:axId val="40496218"/>
      </c:barChart>
      <c:catAx>
        <c:axId val="26869201"/>
        <c:scaling>
          <c:orientation val="minMax"/>
        </c:scaling>
        <c:axPos val="b"/>
        <c:title>
          <c:tx>
            <c:rich>
              <a:bodyPr vert="horz" rot="0" anchor="ctr"/>
              <a:lstStyle/>
              <a:p>
                <a:pPr algn="ctr">
                  <a:defRPr/>
                </a:pPr>
                <a:r>
                  <a:rPr lang="en-US" cap="none" sz="150" b="1" i="0" u="none" baseline="0">
                    <a:solidFill>
                      <a:srgbClr val="000000"/>
                    </a:solidFill>
                    <a:latin typeface="Arial"/>
                    <a:ea typeface="Arial"/>
                    <a:cs typeface="Arial"/>
                  </a:rPr>
                  <a:t>Trust</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40496218"/>
        <c:crosses val="autoZero"/>
        <c:auto val="1"/>
        <c:lblOffset val="100"/>
        <c:tickLblSkip val="2"/>
        <c:noMultiLvlLbl val="0"/>
      </c:catAx>
      <c:valAx>
        <c:axId val="40496218"/>
        <c:scaling>
          <c:orientation val="minMax"/>
        </c:scaling>
        <c:axPos val="l"/>
        <c:title>
          <c:tx>
            <c:rich>
              <a:bodyPr vert="horz" rot="-5400000" anchor="ctr"/>
              <a:lstStyle/>
              <a:p>
                <a:pPr algn="ctr">
                  <a:defRPr/>
                </a:pPr>
                <a:r>
                  <a:rPr lang="en-US" cap="none" sz="150" b="1" i="0" u="none" baseline="0">
                    <a:solidFill>
                      <a:srgbClr val="000000"/>
                    </a:solidFill>
                    <a:latin typeface="Arial"/>
                    <a:ea typeface="Arial"/>
                    <a:cs typeface="Arial"/>
                  </a:rPr>
                  <a:t>CQUIN score (out of 100)</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6869201"/>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latin typeface="Arial"/>
          <a:ea typeface="Arial"/>
          <a:cs typeface="Aria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75" b="1" i="0" u="none" baseline="0">
                <a:solidFill>
                  <a:srgbClr val="000000"/>
                </a:solidFill>
                <a:latin typeface="Arial"/>
                <a:ea typeface="Arial"/>
                <a:cs typeface="Arial"/>
              </a:rPr>
              <a:t>Trust score compared to other Trusts within same SHA (CQUIN 2010 scores based on Adult 2010 Inpatient Survey data)
</a:t>
            </a:r>
          </a:p>
        </c:rich>
      </c:tx>
      <c:layout/>
      <c:spPr>
        <a:noFill/>
        <a:ln>
          <a:noFill/>
        </a:ln>
      </c:spPr>
    </c:title>
    <c:plotArea>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Lit>
              <c:ptCount val="9"/>
              <c:pt idx="0">
                <c:v>58.998279230772845</c:v>
              </c:pt>
              <c:pt idx="1">
                <c:v>61.34910200586086</c:v>
              </c:pt>
              <c:pt idx="2">
                <c:v>61.42376796038788</c:v>
              </c:pt>
              <c:pt idx="3">
                <c:v>62.92198929762291</c:v>
              </c:pt>
              <c:pt idx="4">
                <c:v>63.470192369312464</c:v>
              </c:pt>
              <c:pt idx="5">
                <c:v>63.74585599548826</c:v>
              </c:pt>
              <c:pt idx="6">
                <c:v>64.08498854664553</c:v>
              </c:pt>
              <c:pt idx="7">
                <c:v>64.39412251979074</c:v>
              </c:pt>
              <c:pt idx="8">
                <c:v>64.46697448473176</c:v>
              </c:pt>
            </c:numLit>
          </c:val>
        </c:ser>
        <c:axId val="28921643"/>
        <c:axId val="58968196"/>
      </c:barChart>
      <c:catAx>
        <c:axId val="28921643"/>
        <c:scaling>
          <c:orientation val="minMax"/>
        </c:scaling>
        <c:axPos val="b"/>
        <c:title>
          <c:tx>
            <c:rich>
              <a:bodyPr vert="horz" rot="0" anchor="ctr"/>
              <a:lstStyle/>
              <a:p>
                <a:pPr algn="ctr">
                  <a:defRPr/>
                </a:pPr>
                <a:r>
                  <a:rPr lang="en-US" cap="none" sz="150" b="1" i="0" u="none" baseline="0">
                    <a:solidFill>
                      <a:srgbClr val="000000"/>
                    </a:solidFill>
                    <a:latin typeface="Arial"/>
                    <a:ea typeface="Arial"/>
                    <a:cs typeface="Arial"/>
                  </a:rPr>
                  <a:t>Trust</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58968196"/>
        <c:crosses val="autoZero"/>
        <c:auto val="1"/>
        <c:lblOffset val="100"/>
        <c:tickLblSkip val="2"/>
        <c:noMultiLvlLbl val="0"/>
      </c:catAx>
      <c:valAx>
        <c:axId val="58968196"/>
        <c:scaling>
          <c:orientation val="minMax"/>
        </c:scaling>
        <c:axPos val="l"/>
        <c:title>
          <c:tx>
            <c:rich>
              <a:bodyPr vert="horz" rot="-5400000" anchor="ctr"/>
              <a:lstStyle/>
              <a:p>
                <a:pPr algn="ctr">
                  <a:defRPr/>
                </a:pPr>
                <a:r>
                  <a:rPr lang="en-US" cap="none" sz="150" b="1" i="0" u="none" baseline="0">
                    <a:solidFill>
                      <a:srgbClr val="000000"/>
                    </a:solidFill>
                    <a:latin typeface="Arial"/>
                    <a:ea typeface="Arial"/>
                    <a:cs typeface="Arial"/>
                  </a:rPr>
                  <a:t>CQUIN score (out of 100)</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8921643"/>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latin typeface="Arial"/>
          <a:ea typeface="Arial"/>
          <a:cs typeface="Aria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75" b="1" i="0" u="none" baseline="0">
                <a:solidFill>
                  <a:srgbClr val="000000"/>
                </a:solidFill>
                <a:latin typeface="Arial"/>
                <a:ea typeface="Arial"/>
                <a:cs typeface="Arial"/>
              </a:rPr>
              <a:t>Trust score compared to other Trusts within same SHA (CQUIN 2010 scores based on Adult 2010 Inpatient Survey data)
</a:t>
            </a:r>
          </a:p>
        </c:rich>
      </c:tx>
      <c:layout/>
      <c:spPr>
        <a:noFill/>
        <a:ln>
          <a:noFill/>
        </a:ln>
      </c:spPr>
    </c:title>
    <c:plotArea>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Lit>
              <c:ptCount val="9"/>
              <c:pt idx="0">
                <c:v>58.998279230772845</c:v>
              </c:pt>
              <c:pt idx="1">
                <c:v>61.34910200586086</c:v>
              </c:pt>
              <c:pt idx="2">
                <c:v>61.42376796038788</c:v>
              </c:pt>
              <c:pt idx="3">
                <c:v>62.92198929762291</c:v>
              </c:pt>
              <c:pt idx="4">
                <c:v>63.470192369312464</c:v>
              </c:pt>
              <c:pt idx="5">
                <c:v>63.74585599548826</c:v>
              </c:pt>
              <c:pt idx="6">
                <c:v>64.08498854664553</c:v>
              </c:pt>
              <c:pt idx="7">
                <c:v>64.39412251979074</c:v>
              </c:pt>
              <c:pt idx="8">
                <c:v>64.46697448473176</c:v>
              </c:pt>
            </c:numLit>
          </c:val>
        </c:ser>
        <c:axId val="60951717"/>
        <c:axId val="11694542"/>
      </c:barChart>
      <c:catAx>
        <c:axId val="60951717"/>
        <c:scaling>
          <c:orientation val="minMax"/>
        </c:scaling>
        <c:axPos val="b"/>
        <c:title>
          <c:tx>
            <c:rich>
              <a:bodyPr vert="horz" rot="0" anchor="ctr"/>
              <a:lstStyle/>
              <a:p>
                <a:pPr algn="ctr">
                  <a:defRPr/>
                </a:pPr>
                <a:r>
                  <a:rPr lang="en-US" cap="none" sz="150" b="1" i="0" u="none" baseline="0">
                    <a:solidFill>
                      <a:srgbClr val="000000"/>
                    </a:solidFill>
                    <a:latin typeface="Arial"/>
                    <a:ea typeface="Arial"/>
                    <a:cs typeface="Arial"/>
                  </a:rPr>
                  <a:t>Trust</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11694542"/>
        <c:crosses val="autoZero"/>
        <c:auto val="1"/>
        <c:lblOffset val="100"/>
        <c:tickLblSkip val="2"/>
        <c:noMultiLvlLbl val="0"/>
      </c:catAx>
      <c:valAx>
        <c:axId val="11694542"/>
        <c:scaling>
          <c:orientation val="minMax"/>
        </c:scaling>
        <c:axPos val="l"/>
        <c:title>
          <c:tx>
            <c:rich>
              <a:bodyPr vert="horz" rot="-5400000" anchor="ctr"/>
              <a:lstStyle/>
              <a:p>
                <a:pPr algn="ctr">
                  <a:defRPr/>
                </a:pPr>
                <a:r>
                  <a:rPr lang="en-US" cap="none" sz="150" b="1" i="0" u="none" baseline="0">
                    <a:solidFill>
                      <a:srgbClr val="000000"/>
                    </a:solidFill>
                    <a:latin typeface="Arial"/>
                    <a:ea typeface="Arial"/>
                    <a:cs typeface="Arial"/>
                  </a:rPr>
                  <a:t>CQUIN score (out of 100)</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0951717"/>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latin typeface="Arial"/>
          <a:ea typeface="Arial"/>
          <a:cs typeface="Aria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1" i="0" u="none" baseline="0">
                <a:solidFill>
                  <a:srgbClr val="000000"/>
                </a:solidFill>
                <a:latin typeface="Arial"/>
                <a:ea typeface="Arial"/>
                <a:cs typeface="Arial"/>
              </a:rPr>
              <a:t>Your trust's scores</a:t>
            </a:r>
          </a:p>
        </c:rich>
      </c:tx>
      <c:layout>
        <c:manualLayout>
          <c:xMode val="factor"/>
          <c:yMode val="factor"/>
          <c:x val="0.032"/>
          <c:y val="0.01975"/>
        </c:manualLayout>
      </c:layout>
      <c:spPr>
        <a:noFill/>
        <a:ln>
          <a:noFill/>
        </a:ln>
      </c:spPr>
    </c:title>
    <c:plotArea>
      <c:layout>
        <c:manualLayout>
          <c:xMode val="edge"/>
          <c:yMode val="edge"/>
          <c:x val="0.0865"/>
          <c:y val="0.16475"/>
          <c:w val="0.88675"/>
          <c:h val="0.6935"/>
        </c:manualLayout>
      </c:layout>
      <c:lineChart>
        <c:grouping val="standard"/>
        <c:varyColors val="0"/>
        <c:ser>
          <c:idx val="0"/>
          <c:order val="0"/>
          <c:tx>
            <c:strRef>
              <c:f>'Your 2012 score'!$C$15</c:f>
              <c:strCache>
                <c:ptCount val="1"/>
                <c:pt idx="0">
                  <c:v>Your scores</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'Your 2012 score'!$D$14:$L$14</c:f>
              <c:numCache>
                <c:ptCount val="9"/>
                <c:pt idx="0">
                  <c:v>2003</c:v>
                </c:pt>
                <c:pt idx="1">
                  <c:v>2005</c:v>
                </c:pt>
                <c:pt idx="2">
                  <c:v>2006</c:v>
                </c:pt>
                <c:pt idx="3">
                  <c:v>2007</c:v>
                </c:pt>
                <c:pt idx="4">
                  <c:v>2008</c:v>
                </c:pt>
                <c:pt idx="5">
                  <c:v>2009</c:v>
                </c:pt>
                <c:pt idx="6">
                  <c:v>2010</c:v>
                </c:pt>
                <c:pt idx="7">
                  <c:v>2011</c:v>
                </c:pt>
                <c:pt idx="8">
                  <c:v>2012</c:v>
                </c:pt>
              </c:numCache>
            </c:numRef>
          </c:cat>
          <c:val>
            <c:numRef>
              <c:f>'Your 2012 score'!$D$15:$L$15</c:f>
              <c:numCache>
                <c:ptCount val="9"/>
                <c:pt idx="0">
                  <c:v>66.13025999999999</c:v>
                </c:pt>
                <c:pt idx="1">
                  <c:v>68.615566</c:v>
                </c:pt>
                <c:pt idx="2">
                  <c:v>66.37170599999999</c:v>
                </c:pt>
                <c:pt idx="3">
                  <c:v>67.028774</c:v>
                </c:pt>
                <c:pt idx="4">
                  <c:v>66.069084</c:v>
                </c:pt>
                <c:pt idx="5">
                  <c:v>67.88389117915746</c:v>
                </c:pt>
                <c:pt idx="6">
                  <c:v>65.20244868285964</c:v>
                </c:pt>
                <c:pt idx="7">
                  <c:v>68.88240477543054</c:v>
                </c:pt>
                <c:pt idx="8">
                  <c:v>68.5220736779702</c:v>
                </c:pt>
              </c:numCache>
            </c:numRef>
          </c:val>
          <c:smooth val="0"/>
        </c:ser>
        <c:ser>
          <c:idx val="1"/>
          <c:order val="1"/>
          <c:tx>
            <c:strRef>
              <c:f>'Your 2012 score'!$C$16</c:f>
              <c:strCache>
                <c:ptCount val="1"/>
                <c:pt idx="0">
                  <c:v>SHA cluster</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'Your 2012 score'!$D$14:$L$14</c:f>
              <c:numCache>
                <c:ptCount val="9"/>
                <c:pt idx="0">
                  <c:v>2003</c:v>
                </c:pt>
                <c:pt idx="1">
                  <c:v>2005</c:v>
                </c:pt>
                <c:pt idx="2">
                  <c:v>2006</c:v>
                </c:pt>
                <c:pt idx="3">
                  <c:v>2007</c:v>
                </c:pt>
                <c:pt idx="4">
                  <c:v>2008</c:v>
                </c:pt>
                <c:pt idx="5">
                  <c:v>2009</c:v>
                </c:pt>
                <c:pt idx="6">
                  <c:v>2010</c:v>
                </c:pt>
                <c:pt idx="7">
                  <c:v>2011</c:v>
                </c:pt>
                <c:pt idx="8">
                  <c:v>2012</c:v>
                </c:pt>
              </c:numCache>
            </c:numRef>
          </c:cat>
          <c:val>
            <c:numRef>
              <c:f>'Your 2012 score'!$D$16:$L$16</c:f>
              <c:numCache>
                <c:ptCount val="9"/>
                <c:pt idx="0">
                  <c:v>69.21672596000002</c:v>
                </c:pt>
                <c:pt idx="1">
                  <c:v>69.583725877551</c:v>
                </c:pt>
                <c:pt idx="2">
                  <c:v>68.11684524</c:v>
                </c:pt>
                <c:pt idx="3">
                  <c:v>67.17272831999999</c:v>
                </c:pt>
                <c:pt idx="4">
                  <c:v>68.42485231999999</c:v>
                </c:pt>
                <c:pt idx="5">
                  <c:v>67.52224871059539</c:v>
                </c:pt>
                <c:pt idx="6">
                  <c:v>68.25076411189981</c:v>
                </c:pt>
                <c:pt idx="7">
                  <c:v>68.59530471085904</c:v>
                </c:pt>
                <c:pt idx="8">
                  <c:v>69.05735926965043</c:v>
                </c:pt>
              </c:numCache>
            </c:numRef>
          </c:val>
          <c:smooth val="0"/>
        </c:ser>
        <c:ser>
          <c:idx val="2"/>
          <c:order val="2"/>
          <c:tx>
            <c:strRef>
              <c:f>'Your 2012 score'!$C$17</c:f>
              <c:strCache>
                <c:ptCount val="1"/>
                <c:pt idx="0">
                  <c:v>National</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numRef>
              <c:f>'Your 2012 score'!$D$14:$L$14</c:f>
              <c:numCache>
                <c:ptCount val="9"/>
                <c:pt idx="0">
                  <c:v>2003</c:v>
                </c:pt>
                <c:pt idx="1">
                  <c:v>2005</c:v>
                </c:pt>
                <c:pt idx="2">
                  <c:v>2006</c:v>
                </c:pt>
                <c:pt idx="3">
                  <c:v>2007</c:v>
                </c:pt>
                <c:pt idx="4">
                  <c:v>2008</c:v>
                </c:pt>
                <c:pt idx="5">
                  <c:v>2009</c:v>
                </c:pt>
                <c:pt idx="6">
                  <c:v>2010</c:v>
                </c:pt>
                <c:pt idx="7">
                  <c:v>2011</c:v>
                </c:pt>
                <c:pt idx="8">
                  <c:v>2012</c:v>
                </c:pt>
              </c:numCache>
            </c:numRef>
          </c:cat>
          <c:val>
            <c:numRef>
              <c:f>'Your 2012 score'!$D$17:$L$17</c:f>
              <c:numCache>
                <c:ptCount val="9"/>
                <c:pt idx="0">
                  <c:v>67.39599698765433</c:v>
                </c:pt>
                <c:pt idx="1">
                  <c:v>68.23142816455699</c:v>
                </c:pt>
                <c:pt idx="2">
                  <c:v>67.03382373006131</c:v>
                </c:pt>
                <c:pt idx="3">
                  <c:v>66.0239637300613</c:v>
                </c:pt>
                <c:pt idx="4">
                  <c:v>67.07058939393943</c:v>
                </c:pt>
                <c:pt idx="5">
                  <c:v>66.66561731595783</c:v>
                </c:pt>
                <c:pt idx="6">
                  <c:v>67.3071764625737</c:v>
                </c:pt>
                <c:pt idx="7">
                  <c:v>67.39441798261505</c:v>
                </c:pt>
                <c:pt idx="8">
                  <c:v>68.14077841256244</c:v>
                </c:pt>
              </c:numCache>
            </c:numRef>
          </c:val>
          <c:smooth val="0"/>
        </c:ser>
        <c:marker val="1"/>
        <c:axId val="38142015"/>
        <c:axId val="7733816"/>
      </c:lineChart>
      <c:catAx>
        <c:axId val="38142015"/>
        <c:scaling>
          <c:orientation val="minMax"/>
        </c:scaling>
        <c:axPos val="b"/>
        <c:delete val="0"/>
        <c:numFmt formatCode="General" sourceLinked="1"/>
        <c:majorTickMark val="out"/>
        <c:minorTickMark val="none"/>
        <c:tickLblPos val="nextTo"/>
        <c:spPr>
          <a:ln w="3175">
            <a:solidFill>
              <a:srgbClr val="000000"/>
            </a:solidFill>
          </a:ln>
        </c:spPr>
        <c:crossAx val="7733816"/>
        <c:crosses val="autoZero"/>
        <c:auto val="1"/>
        <c:lblOffset val="100"/>
        <c:tickLblSkip val="1"/>
        <c:noMultiLvlLbl val="0"/>
      </c:catAx>
      <c:valAx>
        <c:axId val="7733816"/>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Score (out of 100)</a:t>
                </a:r>
              </a:p>
            </c:rich>
          </c:tx>
          <c:layout>
            <c:manualLayout>
              <c:xMode val="factor"/>
              <c:yMode val="factor"/>
              <c:x val="-0.00825"/>
              <c:y val="0.0162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38142015"/>
        <c:crossesAt val="1"/>
        <c:crossBetween val="between"/>
        <c:dispUnits/>
      </c:valAx>
      <c:spPr>
        <a:solidFill>
          <a:srgbClr val="C0C0C0"/>
        </a:solidFill>
        <a:ln w="12700">
          <a:solidFill>
            <a:srgbClr val="808080"/>
          </a:solidFill>
        </a:ln>
      </c:spPr>
    </c:plotArea>
    <c:legend>
      <c:legendPos val="r"/>
      <c:layout>
        <c:manualLayout>
          <c:xMode val="edge"/>
          <c:yMode val="edge"/>
          <c:x val="0.19525"/>
          <c:y val="0.9015"/>
          <c:w val="0.714"/>
          <c:h val="0.08275"/>
        </c:manualLayout>
      </c:layout>
      <c:overlay val="0"/>
      <c:spPr>
        <a:solidFill>
          <a:srgbClr val="FFFFFF"/>
        </a:solidFill>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2012 trusts score compared to other trusts 
</a:t>
            </a:r>
            <a:r>
              <a:rPr lang="en-US" cap="none" sz="900" b="1" i="0" u="none" baseline="0">
                <a:solidFill>
                  <a:srgbClr val="000000"/>
                </a:solidFill>
                <a:latin typeface="Arial"/>
                <a:ea typeface="Arial"/>
                <a:cs typeface="Arial"/>
              </a:rPr>
              <a:t>within same SHA cluster</a:t>
            </a:r>
          </a:p>
        </c:rich>
      </c:tx>
      <c:layout>
        <c:manualLayout>
          <c:xMode val="factor"/>
          <c:yMode val="factor"/>
          <c:x val="0.02875"/>
          <c:y val="0.0235"/>
        </c:manualLayout>
      </c:layout>
      <c:spPr>
        <a:noFill/>
        <a:ln>
          <a:noFill/>
        </a:ln>
      </c:spPr>
    </c:title>
    <c:plotArea>
      <c:layout>
        <c:manualLayout>
          <c:xMode val="edge"/>
          <c:yMode val="edge"/>
          <c:x val="0.0365"/>
          <c:y val="0.131"/>
          <c:w val="0.93675"/>
          <c:h val="0.719"/>
        </c:manualLayout>
      </c:layout>
      <c:barChart>
        <c:barDir val="col"/>
        <c:grouping val="clustered"/>
        <c:varyColors val="0"/>
        <c:ser>
          <c:idx val="0"/>
          <c:order val="0"/>
          <c:tx>
            <c:v>Other Trusts</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'SHA cluster table data'!$Z$5:$Z$53</c:f>
              <c:numCache>
                <c:ptCount val="49"/>
                <c:pt idx="0">
                  <c:v>62.1946754577409</c:v>
                </c:pt>
                <c:pt idx="1">
                  <c:v>62.8344704630126</c:v>
                </c:pt>
                <c:pt idx="2">
                  <c:v>62.8387806943181</c:v>
                </c:pt>
                <c:pt idx="3">
                  <c:v>62.8883575536011</c:v>
                </c:pt>
                <c:pt idx="4">
                  <c:v>63.2748203494433</c:v>
                </c:pt>
                <c:pt idx="5">
                  <c:v>64.1775261961956</c:v>
                </c:pt>
                <c:pt idx="6">
                  <c:v>65.5779480916414</c:v>
                </c:pt>
                <c:pt idx="7">
                  <c:v>65.6083495866062</c:v>
                </c:pt>
                <c:pt idx="8">
                  <c:v>66.1336930255687</c:v>
                </c:pt>
                <c:pt idx="9">
                  <c:v>66.2311738697655</c:v>
                </c:pt>
                <c:pt idx="10">
                  <c:v>66.3684021709617</c:v>
                </c:pt>
                <c:pt idx="11">
                  <c:v>66.5242345158583</c:v>
                </c:pt>
                <c:pt idx="12">
                  <c:v>66.6093227391906</c:v>
                </c:pt>
                <c:pt idx="13">
                  <c:v>66.6690344778668</c:v>
                </c:pt>
                <c:pt idx="14">
                  <c:v>66.9767284748322</c:v>
                </c:pt>
                <c:pt idx="15">
                  <c:v>67.1383415218861</c:v>
                </c:pt>
                <c:pt idx="16">
                  <c:v>67.3362931726784</c:v>
                </c:pt>
                <c:pt idx="17">
                  <c:v>67.4014745639147</c:v>
                </c:pt>
                <c:pt idx="18">
                  <c:v>67.6129163666785</c:v>
                </c:pt>
                <c:pt idx="19">
                  <c:v>68.0120855831481</c:v>
                </c:pt>
                <c:pt idx="20">
                  <c:v>68.044186911257</c:v>
                </c:pt>
                <c:pt idx="21">
                  <c:v>68.3910765174098</c:v>
                </c:pt>
                <c:pt idx="22">
                  <c:v>68.473525281413</c:v>
                </c:pt>
                <c:pt idx="23">
                  <c:v>68.5161326883974</c:v>
                </c:pt>
                <c:pt idx="24">
                  <c:v>0</c:v>
                </c:pt>
                <c:pt idx="25">
                  <c:v>68.5793857110996</c:v>
                </c:pt>
                <c:pt idx="26">
                  <c:v>68.7104717034565</c:v>
                </c:pt>
                <c:pt idx="27">
                  <c:v>68.7182412411462</c:v>
                </c:pt>
                <c:pt idx="28">
                  <c:v>68.8589414401575</c:v>
                </c:pt>
                <c:pt idx="29">
                  <c:v>68.8629737002705</c:v>
                </c:pt>
                <c:pt idx="30">
                  <c:v>68.8692571281504</c:v>
                </c:pt>
                <c:pt idx="31">
                  <c:v>68.8913514300983</c:v>
                </c:pt>
                <c:pt idx="32">
                  <c:v>0</c:v>
                </c:pt>
                <c:pt idx="33">
                  <c:v>69.7294111655363</c:v>
                </c:pt>
                <c:pt idx="34">
                  <c:v>70.3184807566351</c:v>
                </c:pt>
                <c:pt idx="35">
                  <c:v>70.3930077029134</c:v>
                </c:pt>
                <c:pt idx="36">
                  <c:v>70.4200904993138</c:v>
                </c:pt>
                <c:pt idx="37">
                  <c:v>70.600696946492</c:v>
                </c:pt>
                <c:pt idx="38">
                  <c:v>71.1612822646633</c:v>
                </c:pt>
                <c:pt idx="39">
                  <c:v>71.2886687000631</c:v>
                </c:pt>
                <c:pt idx="40">
                  <c:v>71.5966764481236</c:v>
                </c:pt>
                <c:pt idx="41">
                  <c:v>71.6414923498492</c:v>
                </c:pt>
                <c:pt idx="42">
                  <c:v>71.7648368762856</c:v>
                </c:pt>
                <c:pt idx="43">
                  <c:v>71.7664984545867</c:v>
                </c:pt>
                <c:pt idx="44">
                  <c:v>74.2258946611975</c:v>
                </c:pt>
                <c:pt idx="45">
                  <c:v>77.5260859923876</c:v>
                </c:pt>
                <c:pt idx="46">
                  <c:v>78.255718822455</c:v>
                </c:pt>
                <c:pt idx="47">
                  <c:v>83.8547737875298</c:v>
                </c:pt>
                <c:pt idx="48">
                  <c:v>84.3633832094524</c:v>
                </c:pt>
              </c:numCache>
            </c:numRef>
          </c:val>
        </c:ser>
        <c:ser>
          <c:idx val="1"/>
          <c:order val="1"/>
          <c:tx>
            <c:v>Your Trust</c:v>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'SHA cluster table data'!$AA$5:$AA$53</c:f>
              <c:numCache>
                <c:ptCount val="4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68.5220736779702</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numCache>
            </c:numRef>
          </c:val>
        </c:ser>
        <c:ser>
          <c:idx val="2"/>
          <c:order val="2"/>
          <c:tx>
            <c:v>SHA Cluster average</c:v>
          </c:tx>
          <c:spPr>
            <a:solidFill>
              <a:srgbClr val="52FC2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'SHA cluster table data'!$AB$5:$AB$53</c:f>
              <c:numCache>
                <c:ptCount val="4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69.05735926965043</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numCache>
            </c:numRef>
          </c:val>
        </c:ser>
        <c:overlap val="11"/>
        <c:gapWidth val="25"/>
        <c:axId val="2495481"/>
        <c:axId val="22459330"/>
      </c:barChart>
      <c:catAx>
        <c:axId val="2495481"/>
        <c:scaling>
          <c:orientation val="minMax"/>
        </c:scaling>
        <c:axPos val="b"/>
        <c:delete val="1"/>
        <c:majorTickMark val="out"/>
        <c:minorTickMark val="none"/>
        <c:tickLblPos val="nextTo"/>
        <c:crossAx val="22459330"/>
        <c:crosses val="autoZero"/>
        <c:auto val="1"/>
        <c:lblOffset val="100"/>
        <c:tickLblSkip val="1"/>
        <c:noMultiLvlLbl val="0"/>
      </c:catAx>
      <c:valAx>
        <c:axId val="22459330"/>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Score (out of 100)</a:t>
                </a:r>
              </a:p>
            </c:rich>
          </c:tx>
          <c:layout>
            <c:manualLayout>
              <c:xMode val="factor"/>
              <c:yMode val="factor"/>
              <c:x val="-0.00375"/>
              <c:y val="0.013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2495481"/>
        <c:crossesAt val="1"/>
        <c:crossBetween val="between"/>
        <c:dispUnits/>
      </c:valAx>
      <c:spPr>
        <a:solidFill>
          <a:srgbClr val="C0C0C0"/>
        </a:solidFill>
        <a:ln w="12700">
          <a:solidFill>
            <a:srgbClr val="808080"/>
          </a:solidFill>
        </a:ln>
      </c:spPr>
    </c:plotArea>
    <c:legend>
      <c:legendPos val="r"/>
      <c:layout>
        <c:manualLayout>
          <c:xMode val="edge"/>
          <c:yMode val="edge"/>
          <c:x val="0.1995"/>
          <c:y val="0.8515"/>
          <c:w val="0.70425"/>
          <c:h val="0.11325"/>
        </c:manualLayout>
      </c:layout>
      <c:overlay val="0"/>
      <c:spPr>
        <a:solidFill>
          <a:srgbClr val="FFFFFF"/>
        </a:solidFill>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1" i="0" u="none" baseline="0">
                <a:solidFill>
                  <a:srgbClr val="000000"/>
                </a:solidFill>
                <a:latin typeface="Arial"/>
                <a:ea typeface="Arial"/>
                <a:cs typeface="Arial"/>
              </a:rPr>
              <a:t>Trust score compared to other Trusts within same SHA</a:t>
            </a:r>
          </a:p>
        </c:rich>
      </c:tx>
      <c:layout/>
      <c:spPr>
        <a:noFill/>
        <a:ln>
          <a:noFill/>
        </a:ln>
      </c:spPr>
    </c:title>
    <c:plotArea>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'SHA cluster table data'!#REF!</c:f>
            </c:numRef>
          </c:val>
        </c:ser>
        <c:axId val="28249013"/>
        <c:axId val="52914526"/>
      </c:barChart>
      <c:catAx>
        <c:axId val="28249013"/>
        <c:scaling>
          <c:orientation val="minMax"/>
        </c:scaling>
        <c:axPos val="b"/>
        <c:delete val="0"/>
        <c:numFmt formatCode="General" sourceLinked="1"/>
        <c:majorTickMark val="out"/>
        <c:minorTickMark val="none"/>
        <c:tickLblPos val="nextTo"/>
        <c:spPr>
          <a:ln w="3175">
            <a:solidFill>
              <a:srgbClr val="000000"/>
            </a:solidFill>
          </a:ln>
        </c:spPr>
        <c:crossAx val="52914526"/>
        <c:crosses val="autoZero"/>
        <c:auto val="1"/>
        <c:lblOffset val="100"/>
        <c:tickLblSkip val="3"/>
        <c:noMultiLvlLbl val="0"/>
      </c:catAx>
      <c:valAx>
        <c:axId val="52914526"/>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8249013"/>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1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1" i="0" u="none" baseline="0">
                <a:solidFill>
                  <a:srgbClr val="000000"/>
                </a:solidFill>
                <a:latin typeface="Arial"/>
                <a:ea typeface="Arial"/>
                <a:cs typeface="Arial"/>
              </a:rPr>
              <a:t>Trust score compared to other Trusts within same SHA</a:t>
            </a:r>
          </a:p>
        </c:rich>
      </c:tx>
      <c:layout/>
      <c:spPr>
        <a:noFill/>
        <a:ln>
          <a:noFill/>
        </a:ln>
      </c:spPr>
    </c:title>
    <c:plotArea>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'SHA cluster table data'!#REF!</c:f>
            </c:numRef>
          </c:val>
        </c:ser>
        <c:axId val="6468687"/>
        <c:axId val="58218184"/>
      </c:barChart>
      <c:catAx>
        <c:axId val="6468687"/>
        <c:scaling>
          <c:orientation val="minMax"/>
        </c:scaling>
        <c:axPos val="b"/>
        <c:delete val="0"/>
        <c:numFmt formatCode="General" sourceLinked="1"/>
        <c:majorTickMark val="out"/>
        <c:minorTickMark val="none"/>
        <c:tickLblPos val="nextTo"/>
        <c:spPr>
          <a:ln w="3175">
            <a:solidFill>
              <a:srgbClr val="000000"/>
            </a:solidFill>
          </a:ln>
        </c:spPr>
        <c:crossAx val="58218184"/>
        <c:crosses val="autoZero"/>
        <c:auto val="1"/>
        <c:lblOffset val="100"/>
        <c:tickLblSkip val="3"/>
        <c:noMultiLvlLbl val="0"/>
      </c:catAx>
      <c:valAx>
        <c:axId val="58218184"/>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468687"/>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1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1" i="0" u="none" baseline="0">
                <a:solidFill>
                  <a:srgbClr val="000000"/>
                </a:solidFill>
                <a:latin typeface="Arial"/>
                <a:ea typeface="Arial"/>
                <a:cs typeface="Arial"/>
              </a:rPr>
              <a:t>Trust score compared to other Trusts within same SHA 
</a:t>
            </a:r>
            <a:r>
              <a:rPr lang="en-US" cap="none" sz="100" b="1" i="0" u="none" baseline="0">
                <a:solidFill>
                  <a:srgbClr val="000000"/>
                </a:solidFill>
                <a:latin typeface="Arial"/>
                <a:ea typeface="Arial"/>
                <a:cs typeface="Arial"/>
              </a:rPr>
              <a:t>(CQUIN 2010 scores based on Adult 2010 Inpatient Survey data)</a:t>
            </a:r>
          </a:p>
        </c:rich>
      </c:tx>
      <c:layout/>
      <c:spPr>
        <a:noFill/>
        <a:ln>
          <a:noFill/>
        </a:ln>
      </c:spPr>
    </c:title>
    <c:plotArea>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'SHA cluster table data'!#REF!</c:f>
            </c:numRef>
          </c:val>
        </c:ser>
        <c:axId val="54201609"/>
        <c:axId val="18052434"/>
      </c:barChart>
      <c:catAx>
        <c:axId val="54201609"/>
        <c:scaling>
          <c:orientation val="minMax"/>
        </c:scaling>
        <c:axPos val="b"/>
        <c:title>
          <c:tx>
            <c:rich>
              <a:bodyPr vert="horz" rot="0" anchor="ctr"/>
              <a:lstStyle/>
              <a:p>
                <a:pPr algn="ctr">
                  <a:defRPr/>
                </a:pPr>
                <a:r>
                  <a:rPr lang="en-US" cap="none" sz="150" b="1" i="0" u="none" baseline="0">
                    <a:solidFill>
                      <a:srgbClr val="000000"/>
                    </a:solidFill>
                    <a:latin typeface="Arial"/>
                    <a:ea typeface="Arial"/>
                    <a:cs typeface="Arial"/>
                  </a:rPr>
                  <a:t>Trusts</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18052434"/>
        <c:crosses val="autoZero"/>
        <c:auto val="1"/>
        <c:lblOffset val="100"/>
        <c:tickLblSkip val="2"/>
        <c:noMultiLvlLbl val="0"/>
      </c:catAx>
      <c:valAx>
        <c:axId val="18052434"/>
        <c:scaling>
          <c:orientation val="minMax"/>
        </c:scaling>
        <c:axPos val="l"/>
        <c:title>
          <c:tx>
            <c:rich>
              <a:bodyPr vert="horz" rot="-5400000" anchor="ctr"/>
              <a:lstStyle/>
              <a:p>
                <a:pPr algn="ctr">
                  <a:defRPr/>
                </a:pPr>
                <a:r>
                  <a:rPr lang="en-US" cap="none" sz="150" b="1" i="0" u="none" baseline="0">
                    <a:solidFill>
                      <a:srgbClr val="000000"/>
                    </a:solidFill>
                    <a:latin typeface="Arial"/>
                    <a:ea typeface="Arial"/>
                    <a:cs typeface="Arial"/>
                  </a:rPr>
                  <a:t>CQUIN Score</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4201609"/>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1" i="0" u="none" baseline="0">
                <a:solidFill>
                  <a:srgbClr val="000000"/>
                </a:solidFill>
                <a:latin typeface="Arial"/>
                <a:ea typeface="Arial"/>
                <a:cs typeface="Arial"/>
              </a:rPr>
              <a:t>Trust score compared to other Trusts within same SHA 
</a:t>
            </a:r>
            <a:r>
              <a:rPr lang="en-US" cap="none" sz="100" b="1" i="0" u="none" baseline="0">
                <a:solidFill>
                  <a:srgbClr val="000000"/>
                </a:solidFill>
                <a:latin typeface="Arial"/>
                <a:ea typeface="Arial"/>
                <a:cs typeface="Arial"/>
              </a:rPr>
              <a:t>(CQUIN 2010 scores based on Adult 2010 Inpatient Survey data)</a:t>
            </a:r>
          </a:p>
        </c:rich>
      </c:tx>
      <c:layout/>
      <c:spPr>
        <a:noFill/>
        <a:ln>
          <a:noFill/>
        </a:ln>
      </c:spPr>
    </c:title>
    <c:plotArea>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'SHA cluster table data'!#REF!</c:f>
            </c:numRef>
          </c:val>
        </c:ser>
        <c:axId val="28254179"/>
        <c:axId val="52961020"/>
      </c:barChart>
      <c:catAx>
        <c:axId val="28254179"/>
        <c:scaling>
          <c:orientation val="minMax"/>
        </c:scaling>
        <c:axPos val="b"/>
        <c:title>
          <c:tx>
            <c:rich>
              <a:bodyPr vert="horz" rot="0" anchor="ctr"/>
              <a:lstStyle/>
              <a:p>
                <a:pPr algn="ctr">
                  <a:defRPr/>
                </a:pPr>
                <a:r>
                  <a:rPr lang="en-US" cap="none" sz="150" b="1" i="0" u="none" baseline="0">
                    <a:solidFill>
                      <a:srgbClr val="000000"/>
                    </a:solidFill>
                    <a:latin typeface="Arial"/>
                    <a:ea typeface="Arial"/>
                    <a:cs typeface="Arial"/>
                  </a:rPr>
                  <a:t>Trusts</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52961020"/>
        <c:crosses val="autoZero"/>
        <c:auto val="1"/>
        <c:lblOffset val="100"/>
        <c:tickLblSkip val="2"/>
        <c:noMultiLvlLbl val="0"/>
      </c:catAx>
      <c:valAx>
        <c:axId val="52961020"/>
        <c:scaling>
          <c:orientation val="minMax"/>
        </c:scaling>
        <c:axPos val="l"/>
        <c:title>
          <c:tx>
            <c:rich>
              <a:bodyPr vert="horz" rot="-5400000" anchor="ctr"/>
              <a:lstStyle/>
              <a:p>
                <a:pPr algn="ctr">
                  <a:defRPr/>
                </a:pPr>
                <a:r>
                  <a:rPr lang="en-US" cap="none" sz="150" b="1" i="0" u="none" baseline="0">
                    <a:solidFill>
                      <a:srgbClr val="000000"/>
                    </a:solidFill>
                    <a:latin typeface="Arial"/>
                    <a:ea typeface="Arial"/>
                    <a:cs typeface="Arial"/>
                  </a:rPr>
                  <a:t>CQUIN Score</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8254179"/>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1" i="0" u="none" baseline="0">
                <a:solidFill>
                  <a:srgbClr val="000000"/>
                </a:solidFill>
                <a:latin typeface="Arial"/>
                <a:ea typeface="Arial"/>
                <a:cs typeface="Arial"/>
              </a:rPr>
              <a:t>Trust score compared to other Trusts within same SHA 
</a:t>
            </a:r>
            <a:r>
              <a:rPr lang="en-US" cap="none" sz="100" b="1" i="0" u="none" baseline="0">
                <a:solidFill>
                  <a:srgbClr val="000000"/>
                </a:solidFill>
                <a:latin typeface="Arial"/>
                <a:ea typeface="Arial"/>
                <a:cs typeface="Arial"/>
              </a:rPr>
              <a:t>(CQUIN 2010 scores based on Adult 2010 Inpatient Survey data)</a:t>
            </a:r>
          </a:p>
        </c:rich>
      </c:tx>
      <c:layout/>
      <c:spPr>
        <a:noFill/>
        <a:ln>
          <a:noFill/>
        </a:ln>
      </c:spPr>
    </c:title>
    <c:plotArea>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'SHA cluster table data'!#REF!</c:f>
            </c:numRef>
          </c:val>
        </c:ser>
        <c:axId val="6887133"/>
        <c:axId val="61984198"/>
      </c:barChart>
      <c:catAx>
        <c:axId val="6887133"/>
        <c:scaling>
          <c:orientation val="minMax"/>
        </c:scaling>
        <c:axPos val="b"/>
        <c:title>
          <c:tx>
            <c:rich>
              <a:bodyPr vert="horz" rot="0" anchor="ctr"/>
              <a:lstStyle/>
              <a:p>
                <a:pPr algn="ctr">
                  <a:defRPr/>
                </a:pPr>
                <a:r>
                  <a:rPr lang="en-US" cap="none" sz="150" b="1" i="0" u="none" baseline="0">
                    <a:solidFill>
                      <a:srgbClr val="000000"/>
                    </a:solidFill>
                    <a:latin typeface="Arial"/>
                    <a:ea typeface="Arial"/>
                    <a:cs typeface="Arial"/>
                  </a:rPr>
                  <a:t>Trusts</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61984198"/>
        <c:crosses val="autoZero"/>
        <c:auto val="1"/>
        <c:lblOffset val="100"/>
        <c:tickLblSkip val="2"/>
        <c:noMultiLvlLbl val="0"/>
      </c:catAx>
      <c:valAx>
        <c:axId val="61984198"/>
        <c:scaling>
          <c:orientation val="minMax"/>
        </c:scaling>
        <c:axPos val="l"/>
        <c:title>
          <c:tx>
            <c:rich>
              <a:bodyPr vert="horz" rot="-5400000" anchor="ctr"/>
              <a:lstStyle/>
              <a:p>
                <a:pPr algn="ctr">
                  <a:defRPr/>
                </a:pPr>
                <a:r>
                  <a:rPr lang="en-US" cap="none" sz="150" b="1" i="0" u="none" baseline="0">
                    <a:solidFill>
                      <a:srgbClr val="000000"/>
                    </a:solidFill>
                    <a:latin typeface="Arial"/>
                    <a:ea typeface="Arial"/>
                    <a:cs typeface="Arial"/>
                  </a:rPr>
                  <a:t>CQUIN Score</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887133"/>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1" i="0" u="none" baseline="0">
                <a:solidFill>
                  <a:srgbClr val="000000"/>
                </a:solidFill>
                <a:latin typeface="Arial"/>
                <a:ea typeface="Arial"/>
                <a:cs typeface="Arial"/>
              </a:rPr>
              <a:t>Trust score compared to other Trusts within same SHA 
</a:t>
            </a:r>
            <a:r>
              <a:rPr lang="en-US" cap="none" sz="100" b="1" i="0" u="none" baseline="0">
                <a:solidFill>
                  <a:srgbClr val="000000"/>
                </a:solidFill>
                <a:latin typeface="Arial"/>
                <a:ea typeface="Arial"/>
                <a:cs typeface="Arial"/>
              </a:rPr>
              <a:t>(CQUIN 2010 scores based on Adult 2010 Inpatient Survey data)</a:t>
            </a:r>
          </a:p>
        </c:rich>
      </c:tx>
      <c:layout/>
      <c:spPr>
        <a:noFill/>
        <a:ln>
          <a:noFill/>
        </a:ln>
      </c:spPr>
    </c:title>
    <c:plotArea>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'SHA cluster table data'!#REF!</c:f>
            </c:numRef>
          </c:val>
        </c:ser>
        <c:axId val="20986871"/>
        <c:axId val="54664112"/>
      </c:barChart>
      <c:catAx>
        <c:axId val="20986871"/>
        <c:scaling>
          <c:orientation val="minMax"/>
        </c:scaling>
        <c:axPos val="b"/>
        <c:title>
          <c:tx>
            <c:rich>
              <a:bodyPr vert="horz" rot="0" anchor="ctr"/>
              <a:lstStyle/>
              <a:p>
                <a:pPr algn="ctr">
                  <a:defRPr/>
                </a:pPr>
                <a:r>
                  <a:rPr lang="en-US" cap="none" sz="150" b="1" i="0" u="none" baseline="0">
                    <a:solidFill>
                      <a:srgbClr val="000000"/>
                    </a:solidFill>
                    <a:latin typeface="Arial"/>
                    <a:ea typeface="Arial"/>
                    <a:cs typeface="Arial"/>
                  </a:rPr>
                  <a:t>Trusts</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54664112"/>
        <c:crosses val="autoZero"/>
        <c:auto val="1"/>
        <c:lblOffset val="100"/>
        <c:tickLblSkip val="2"/>
        <c:noMultiLvlLbl val="0"/>
      </c:catAx>
      <c:valAx>
        <c:axId val="54664112"/>
        <c:scaling>
          <c:orientation val="minMax"/>
        </c:scaling>
        <c:axPos val="l"/>
        <c:title>
          <c:tx>
            <c:rich>
              <a:bodyPr vert="horz" rot="-5400000" anchor="ctr"/>
              <a:lstStyle/>
              <a:p>
                <a:pPr algn="ctr">
                  <a:defRPr/>
                </a:pPr>
                <a:r>
                  <a:rPr lang="en-US" cap="none" sz="150" b="1" i="0" u="none" baseline="0">
                    <a:solidFill>
                      <a:srgbClr val="000000"/>
                    </a:solidFill>
                    <a:latin typeface="Arial"/>
                    <a:ea typeface="Arial"/>
                    <a:cs typeface="Arial"/>
                  </a:rPr>
                  <a:t>CQUIN Score</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0986871"/>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75" b="1" i="0" u="none" baseline="0">
                <a:solidFill>
                  <a:srgbClr val="000000"/>
                </a:solidFill>
                <a:latin typeface="Arial"/>
                <a:ea typeface="Arial"/>
                <a:cs typeface="Arial"/>
              </a:rPr>
              <a:t>Trust score compared to other Trusts within same SHA (CQUIN 2010 scores based on Adult 2010 Inpatient Survey data)
</a:t>
            </a:r>
          </a:p>
        </c:rich>
      </c:tx>
      <c:layout/>
      <c:spPr>
        <a:noFill/>
        <a:ln>
          <a:noFill/>
        </a:ln>
      </c:spPr>
    </c:title>
    <c:plotArea>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'SHA cluster table data'!#REF!</c:f>
            </c:numRef>
          </c:val>
        </c:ser>
        <c:axId val="22214961"/>
        <c:axId val="65716922"/>
      </c:barChart>
      <c:catAx>
        <c:axId val="22214961"/>
        <c:scaling>
          <c:orientation val="minMax"/>
        </c:scaling>
        <c:axPos val="b"/>
        <c:title>
          <c:tx>
            <c:rich>
              <a:bodyPr vert="horz" rot="0" anchor="ctr"/>
              <a:lstStyle/>
              <a:p>
                <a:pPr algn="ctr">
                  <a:defRPr/>
                </a:pPr>
                <a:r>
                  <a:rPr lang="en-US" cap="none" sz="150" b="1" i="0" u="none" baseline="0">
                    <a:solidFill>
                      <a:srgbClr val="000000"/>
                    </a:solidFill>
                    <a:latin typeface="Arial"/>
                    <a:ea typeface="Arial"/>
                    <a:cs typeface="Arial"/>
                  </a:rPr>
                  <a:t>Trust</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65716922"/>
        <c:crosses val="autoZero"/>
        <c:auto val="1"/>
        <c:lblOffset val="100"/>
        <c:tickLblSkip val="2"/>
        <c:noMultiLvlLbl val="0"/>
      </c:catAx>
      <c:valAx>
        <c:axId val="65716922"/>
        <c:scaling>
          <c:orientation val="minMax"/>
        </c:scaling>
        <c:axPos val="l"/>
        <c:title>
          <c:tx>
            <c:rich>
              <a:bodyPr vert="horz" rot="-5400000" anchor="ctr"/>
              <a:lstStyle/>
              <a:p>
                <a:pPr algn="ctr">
                  <a:defRPr/>
                </a:pPr>
                <a:r>
                  <a:rPr lang="en-US" cap="none" sz="150" b="1" i="0" u="none" baseline="0">
                    <a:solidFill>
                      <a:srgbClr val="000000"/>
                    </a:solidFill>
                    <a:latin typeface="Arial"/>
                    <a:ea typeface="Arial"/>
                    <a:cs typeface="Arial"/>
                  </a:rPr>
                  <a:t>CQUIN score (out of 100)</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2214961"/>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 Id="rId16" Type="http://schemas.openxmlformats.org/officeDocument/2006/relationships/chart" Target="/xl/charts/chart16.xml" /><Relationship Id="rId17" Type="http://schemas.openxmlformats.org/officeDocument/2006/relationships/chart" Target="/xl/charts/chart17.xml" /><Relationship Id="rId18" Type="http://schemas.openxmlformats.org/officeDocument/2006/relationships/chart" Target="/xl/charts/chart18.xml" /><Relationship Id="rId19" Type="http://schemas.openxmlformats.org/officeDocument/2006/relationships/chart" Target="/xl/charts/chart19.xml" /><Relationship Id="rId20" Type="http://schemas.openxmlformats.org/officeDocument/2006/relationships/chart" Target="/xl/charts/chart20.xml" /><Relationship Id="rId21" Type="http://schemas.openxmlformats.org/officeDocument/2006/relationships/chart" Target="/xl/charts/chart21.xml" /><Relationship Id="rId22" Type="http://schemas.openxmlformats.org/officeDocument/2006/relationships/chart" Target="/xl/charts/chart22.xml" /><Relationship Id="rId23" Type="http://schemas.openxmlformats.org/officeDocument/2006/relationships/chart" Target="/xl/charts/chart23.xml" /><Relationship Id="rId24" Type="http://schemas.openxmlformats.org/officeDocument/2006/relationships/chart" Target="/xl/charts/chart24.xml" /><Relationship Id="rId25" Type="http://schemas.openxmlformats.org/officeDocument/2006/relationships/chart" Target="/xl/charts/chart25.xml" /><Relationship Id="rId26" Type="http://schemas.openxmlformats.org/officeDocument/2006/relationships/chart" Target="/xl/charts/chart26.xml" /><Relationship Id="rId27" Type="http://schemas.openxmlformats.org/officeDocument/2006/relationships/chart" Target="/xl/charts/chart27.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8.xml" /><Relationship Id="rId2" Type="http://schemas.openxmlformats.org/officeDocument/2006/relationships/chart" Target="/xl/charts/chart2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4876800</xdr:colOff>
      <xdr:row>1</xdr:row>
      <xdr:rowOff>28575</xdr:rowOff>
    </xdr:from>
    <xdr:to>
      <xdr:col>4</xdr:col>
      <xdr:colOff>1000125</xdr:colOff>
      <xdr:row>2</xdr:row>
      <xdr:rowOff>28575</xdr:rowOff>
    </xdr:to>
    <xdr:pic>
      <xdr:nvPicPr>
        <xdr:cNvPr id="1" name="Picture 4"/>
        <xdr:cNvPicPr preferRelativeResize="1">
          <a:picLocks noChangeAspect="1"/>
        </xdr:cNvPicPr>
      </xdr:nvPicPr>
      <xdr:blipFill>
        <a:blip r:embed="rId1"/>
        <a:stretch>
          <a:fillRect/>
        </a:stretch>
      </xdr:blipFill>
      <xdr:spPr>
        <a:xfrm>
          <a:off x="6229350" y="85725"/>
          <a:ext cx="1600200" cy="561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47625</xdr:colOff>
      <xdr:row>65521</xdr:row>
      <xdr:rowOff>0</xdr:rowOff>
    </xdr:from>
    <xdr:to>
      <xdr:col>14</xdr:col>
      <xdr:colOff>247650</xdr:colOff>
      <xdr:row>65521</xdr:row>
      <xdr:rowOff>0</xdr:rowOff>
    </xdr:to>
    <xdr:sp>
      <xdr:nvSpPr>
        <xdr:cNvPr id="1" name="Text Box 12"/>
        <xdr:cNvSpPr txBox="1">
          <a:spLocks noChangeArrowheads="1"/>
        </xdr:cNvSpPr>
      </xdr:nvSpPr>
      <xdr:spPr>
        <a:xfrm>
          <a:off x="295275" y="9039225"/>
          <a:ext cx="9467850" cy="0"/>
        </a:xfrm>
        <a:prstGeom prst="rect">
          <a:avLst/>
        </a:prstGeom>
        <a:solidFill>
          <a:srgbClr val="FFFF99"/>
        </a:solidFill>
        <a:ln w="9525" cmpd="sng">
          <a:solidFill>
            <a:srgbClr val="000000"/>
          </a:solidFill>
          <a:headEnd type="none"/>
          <a:tailEnd type="none"/>
        </a:ln>
      </xdr:spPr>
      <xdr:txBody>
        <a:bodyPr vertOverflow="clip" wrap="square" lIns="36576" tIns="22860" rIns="0" bIns="0"/>
        <a:p>
          <a:pPr algn="l">
            <a:defRPr/>
          </a:pPr>
          <a:r>
            <a:rPr lang="en-US" cap="none" sz="1200" b="0" i="0" u="none" baseline="0">
              <a:solidFill>
                <a:srgbClr val="000000"/>
              </a:solidFill>
              <a:latin typeface="Arial"/>
              <a:ea typeface="Arial"/>
              <a:cs typeface="Arial"/>
            </a:rPr>
            <a:t>When assessing performance, you need to bear in mind that the data are survey based, so some variation over time is due to sampling variation. On the overall indicator the sampling variation is, typically, +/- 4 points (i.e. an increase of 8 points would be classed as statistically significant.  Variation on individual questions can sometimes be larger than this, so some caution is required in assessing trends in individual questions. The data will still allow you to identify where there is scope for improvement at an individual question and composite measure level.</a:t>
          </a:r>
        </a:p>
      </xdr:txBody>
    </xdr:sp>
    <xdr:clientData/>
  </xdr:twoCellAnchor>
  <xdr:twoCellAnchor>
    <xdr:from>
      <xdr:col>2</xdr:col>
      <xdr:colOff>47625</xdr:colOff>
      <xdr:row>65521</xdr:row>
      <xdr:rowOff>0</xdr:rowOff>
    </xdr:from>
    <xdr:to>
      <xdr:col>14</xdr:col>
      <xdr:colOff>247650</xdr:colOff>
      <xdr:row>65521</xdr:row>
      <xdr:rowOff>0</xdr:rowOff>
    </xdr:to>
    <xdr:sp>
      <xdr:nvSpPr>
        <xdr:cNvPr id="2" name="Text Box 13"/>
        <xdr:cNvSpPr txBox="1">
          <a:spLocks noChangeArrowheads="1"/>
        </xdr:cNvSpPr>
      </xdr:nvSpPr>
      <xdr:spPr>
        <a:xfrm>
          <a:off x="295275" y="9039225"/>
          <a:ext cx="9467850" cy="0"/>
        </a:xfrm>
        <a:prstGeom prst="rect">
          <a:avLst/>
        </a:prstGeom>
        <a:solidFill>
          <a:srgbClr val="FFFF99"/>
        </a:solidFill>
        <a:ln w="9525" cmpd="sng">
          <a:solidFill>
            <a:srgbClr val="000000"/>
          </a:solidFill>
          <a:headEnd type="none"/>
          <a:tailEnd type="none"/>
        </a:ln>
      </xdr:spPr>
      <xdr:txBody>
        <a:bodyPr vertOverflow="clip" wrap="square" lIns="36576" tIns="22860" rIns="0" bIns="0"/>
        <a:p>
          <a:pPr algn="l">
            <a:defRPr/>
          </a:pPr>
          <a:r>
            <a:rPr lang="en-US" cap="none" sz="1200" b="0" i="0" u="none" baseline="0">
              <a:solidFill>
                <a:srgbClr val="000000"/>
              </a:solidFill>
              <a:latin typeface="Arial"/>
              <a:ea typeface="Arial"/>
              <a:cs typeface="Arial"/>
            </a:rPr>
            <a:t>When assessing performance, you need to bear in mind that the data are survey based, so some variation over time is due to sampling variation. On the overall indicator the sampling variation is, typically, +/- 4 points (i.e. an increase of 8 points would be classed as statistically significant.  Variation on individual questions can sometimes be larger than this, so some caution is required in assessing trends in individual questions. The data will still allow you to identify where there is scope for improvement at an individual question and composite measure level.</a:t>
          </a:r>
        </a:p>
      </xdr:txBody>
    </xdr:sp>
    <xdr:clientData/>
  </xdr:twoCellAnchor>
  <xdr:twoCellAnchor>
    <xdr:from>
      <xdr:col>255</xdr:col>
      <xdr:colOff>0</xdr:colOff>
      <xdr:row>24</xdr:row>
      <xdr:rowOff>142875</xdr:rowOff>
    </xdr:from>
    <xdr:to>
      <xdr:col>255</xdr:col>
      <xdr:colOff>0</xdr:colOff>
      <xdr:row>31</xdr:row>
      <xdr:rowOff>0</xdr:rowOff>
    </xdr:to>
    <xdr:graphicFrame>
      <xdr:nvGraphicFramePr>
        <xdr:cNvPr id="3" name="Chart 14"/>
        <xdr:cNvGraphicFramePr/>
      </xdr:nvGraphicFramePr>
      <xdr:xfrm>
        <a:off x="12839700" y="4371975"/>
        <a:ext cx="0" cy="1104900"/>
      </xdr:xfrm>
      <a:graphic>
        <a:graphicData uri="http://schemas.openxmlformats.org/drawingml/2006/chart">
          <c:chart xmlns:c="http://schemas.openxmlformats.org/drawingml/2006/chart" r:id="rId1"/>
        </a:graphicData>
      </a:graphic>
    </xdr:graphicFrame>
    <xdr:clientData/>
  </xdr:twoCellAnchor>
  <xdr:twoCellAnchor>
    <xdr:from>
      <xdr:col>255</xdr:col>
      <xdr:colOff>0</xdr:colOff>
      <xdr:row>26</xdr:row>
      <xdr:rowOff>38100</xdr:rowOff>
    </xdr:from>
    <xdr:to>
      <xdr:col>255</xdr:col>
      <xdr:colOff>0</xdr:colOff>
      <xdr:row>31</xdr:row>
      <xdr:rowOff>0</xdr:rowOff>
    </xdr:to>
    <xdr:graphicFrame>
      <xdr:nvGraphicFramePr>
        <xdr:cNvPr id="4" name="Chart 15"/>
        <xdr:cNvGraphicFramePr/>
      </xdr:nvGraphicFramePr>
      <xdr:xfrm>
        <a:off x="12839700" y="4848225"/>
        <a:ext cx="0" cy="628650"/>
      </xdr:xfrm>
      <a:graphic>
        <a:graphicData uri="http://schemas.openxmlformats.org/drawingml/2006/chart">
          <c:chart xmlns:c="http://schemas.openxmlformats.org/drawingml/2006/chart" r:id="rId2"/>
        </a:graphicData>
      </a:graphic>
    </xdr:graphicFrame>
    <xdr:clientData/>
  </xdr:twoCellAnchor>
  <xdr:twoCellAnchor>
    <xdr:from>
      <xdr:col>255</xdr:col>
      <xdr:colOff>0</xdr:colOff>
      <xdr:row>24</xdr:row>
      <xdr:rowOff>219075</xdr:rowOff>
    </xdr:from>
    <xdr:to>
      <xdr:col>255</xdr:col>
      <xdr:colOff>0</xdr:colOff>
      <xdr:row>31</xdr:row>
      <xdr:rowOff>0</xdr:rowOff>
    </xdr:to>
    <xdr:graphicFrame>
      <xdr:nvGraphicFramePr>
        <xdr:cNvPr id="5" name="Chart 16"/>
        <xdr:cNvGraphicFramePr/>
      </xdr:nvGraphicFramePr>
      <xdr:xfrm>
        <a:off x="12839700" y="4448175"/>
        <a:ext cx="0" cy="1028700"/>
      </xdr:xfrm>
      <a:graphic>
        <a:graphicData uri="http://schemas.openxmlformats.org/drawingml/2006/chart">
          <c:chart xmlns:c="http://schemas.openxmlformats.org/drawingml/2006/chart" r:id="rId3"/>
        </a:graphicData>
      </a:graphic>
    </xdr:graphicFrame>
    <xdr:clientData/>
  </xdr:twoCellAnchor>
  <xdr:twoCellAnchor>
    <xdr:from>
      <xdr:col>252</xdr:col>
      <xdr:colOff>0</xdr:colOff>
      <xdr:row>31</xdr:row>
      <xdr:rowOff>0</xdr:rowOff>
    </xdr:from>
    <xdr:to>
      <xdr:col>252</xdr:col>
      <xdr:colOff>0</xdr:colOff>
      <xdr:row>65524</xdr:row>
      <xdr:rowOff>0</xdr:rowOff>
    </xdr:to>
    <xdr:graphicFrame>
      <xdr:nvGraphicFramePr>
        <xdr:cNvPr id="6" name="Chart 17"/>
        <xdr:cNvGraphicFramePr/>
      </xdr:nvGraphicFramePr>
      <xdr:xfrm>
        <a:off x="12839700" y="5476875"/>
        <a:ext cx="0" cy="3562350"/>
      </xdr:xfrm>
      <a:graphic>
        <a:graphicData uri="http://schemas.openxmlformats.org/drawingml/2006/chart">
          <c:chart xmlns:c="http://schemas.openxmlformats.org/drawingml/2006/chart" r:id="rId4"/>
        </a:graphicData>
      </a:graphic>
    </xdr:graphicFrame>
    <xdr:clientData/>
  </xdr:twoCellAnchor>
  <xdr:twoCellAnchor>
    <xdr:from>
      <xdr:col>255</xdr:col>
      <xdr:colOff>0</xdr:colOff>
      <xdr:row>24</xdr:row>
      <xdr:rowOff>142875</xdr:rowOff>
    </xdr:from>
    <xdr:to>
      <xdr:col>255</xdr:col>
      <xdr:colOff>0</xdr:colOff>
      <xdr:row>31</xdr:row>
      <xdr:rowOff>0</xdr:rowOff>
    </xdr:to>
    <xdr:graphicFrame>
      <xdr:nvGraphicFramePr>
        <xdr:cNvPr id="7" name="Chart 19"/>
        <xdr:cNvGraphicFramePr/>
      </xdr:nvGraphicFramePr>
      <xdr:xfrm>
        <a:off x="12839700" y="4371975"/>
        <a:ext cx="0" cy="1104900"/>
      </xdr:xfrm>
      <a:graphic>
        <a:graphicData uri="http://schemas.openxmlformats.org/drawingml/2006/chart">
          <c:chart xmlns:c="http://schemas.openxmlformats.org/drawingml/2006/chart" r:id="rId5"/>
        </a:graphicData>
      </a:graphic>
    </xdr:graphicFrame>
    <xdr:clientData/>
  </xdr:twoCellAnchor>
  <xdr:twoCellAnchor>
    <xdr:from>
      <xdr:col>255</xdr:col>
      <xdr:colOff>0</xdr:colOff>
      <xdr:row>24</xdr:row>
      <xdr:rowOff>142875</xdr:rowOff>
    </xdr:from>
    <xdr:to>
      <xdr:col>255</xdr:col>
      <xdr:colOff>0</xdr:colOff>
      <xdr:row>31</xdr:row>
      <xdr:rowOff>0</xdr:rowOff>
    </xdr:to>
    <xdr:graphicFrame>
      <xdr:nvGraphicFramePr>
        <xdr:cNvPr id="8" name="Chart 20"/>
        <xdr:cNvGraphicFramePr/>
      </xdr:nvGraphicFramePr>
      <xdr:xfrm>
        <a:off x="12839700" y="4371975"/>
        <a:ext cx="0" cy="1104900"/>
      </xdr:xfrm>
      <a:graphic>
        <a:graphicData uri="http://schemas.openxmlformats.org/drawingml/2006/chart">
          <c:chart xmlns:c="http://schemas.openxmlformats.org/drawingml/2006/chart" r:id="rId6"/>
        </a:graphicData>
      </a:graphic>
    </xdr:graphicFrame>
    <xdr:clientData/>
  </xdr:twoCellAnchor>
  <xdr:twoCellAnchor>
    <xdr:from>
      <xdr:col>255</xdr:col>
      <xdr:colOff>0</xdr:colOff>
      <xdr:row>23</xdr:row>
      <xdr:rowOff>66675</xdr:rowOff>
    </xdr:from>
    <xdr:to>
      <xdr:col>255</xdr:col>
      <xdr:colOff>0</xdr:colOff>
      <xdr:row>31</xdr:row>
      <xdr:rowOff>0</xdr:rowOff>
    </xdr:to>
    <xdr:graphicFrame>
      <xdr:nvGraphicFramePr>
        <xdr:cNvPr id="9" name="Chart 21"/>
        <xdr:cNvGraphicFramePr/>
      </xdr:nvGraphicFramePr>
      <xdr:xfrm>
        <a:off x="12839700" y="4076700"/>
        <a:ext cx="0" cy="1400175"/>
      </xdr:xfrm>
      <a:graphic>
        <a:graphicData uri="http://schemas.openxmlformats.org/drawingml/2006/chart">
          <c:chart xmlns:c="http://schemas.openxmlformats.org/drawingml/2006/chart" r:id="rId7"/>
        </a:graphicData>
      </a:graphic>
    </xdr:graphicFrame>
    <xdr:clientData/>
  </xdr:twoCellAnchor>
  <xdr:twoCellAnchor>
    <xdr:from>
      <xdr:col>255</xdr:col>
      <xdr:colOff>0</xdr:colOff>
      <xdr:row>24</xdr:row>
      <xdr:rowOff>219075</xdr:rowOff>
    </xdr:from>
    <xdr:to>
      <xdr:col>255</xdr:col>
      <xdr:colOff>0</xdr:colOff>
      <xdr:row>31</xdr:row>
      <xdr:rowOff>0</xdr:rowOff>
    </xdr:to>
    <xdr:graphicFrame>
      <xdr:nvGraphicFramePr>
        <xdr:cNvPr id="10" name="Chart 22"/>
        <xdr:cNvGraphicFramePr/>
      </xdr:nvGraphicFramePr>
      <xdr:xfrm>
        <a:off x="12839700" y="4448175"/>
        <a:ext cx="0" cy="1028700"/>
      </xdr:xfrm>
      <a:graphic>
        <a:graphicData uri="http://schemas.openxmlformats.org/drawingml/2006/chart">
          <c:chart xmlns:c="http://schemas.openxmlformats.org/drawingml/2006/chart" r:id="rId8"/>
        </a:graphicData>
      </a:graphic>
    </xdr:graphicFrame>
    <xdr:clientData/>
  </xdr:twoCellAnchor>
  <xdr:twoCellAnchor>
    <xdr:from>
      <xdr:col>255</xdr:col>
      <xdr:colOff>0</xdr:colOff>
      <xdr:row>27</xdr:row>
      <xdr:rowOff>76200</xdr:rowOff>
    </xdr:from>
    <xdr:to>
      <xdr:col>255</xdr:col>
      <xdr:colOff>0</xdr:colOff>
      <xdr:row>31</xdr:row>
      <xdr:rowOff>0</xdr:rowOff>
    </xdr:to>
    <xdr:graphicFrame>
      <xdr:nvGraphicFramePr>
        <xdr:cNvPr id="11" name="Chart 24"/>
        <xdr:cNvGraphicFramePr/>
      </xdr:nvGraphicFramePr>
      <xdr:xfrm>
        <a:off x="12839700" y="4924425"/>
        <a:ext cx="0" cy="552450"/>
      </xdr:xfrm>
      <a:graphic>
        <a:graphicData uri="http://schemas.openxmlformats.org/drawingml/2006/chart">
          <c:chart xmlns:c="http://schemas.openxmlformats.org/drawingml/2006/chart" r:id="rId9"/>
        </a:graphicData>
      </a:graphic>
    </xdr:graphicFrame>
    <xdr:clientData/>
  </xdr:twoCellAnchor>
  <xdr:twoCellAnchor>
    <xdr:from>
      <xdr:col>255</xdr:col>
      <xdr:colOff>0</xdr:colOff>
      <xdr:row>26</xdr:row>
      <xdr:rowOff>38100</xdr:rowOff>
    </xdr:from>
    <xdr:to>
      <xdr:col>255</xdr:col>
      <xdr:colOff>0</xdr:colOff>
      <xdr:row>31</xdr:row>
      <xdr:rowOff>0</xdr:rowOff>
    </xdr:to>
    <xdr:graphicFrame>
      <xdr:nvGraphicFramePr>
        <xdr:cNvPr id="12" name="Chart 25"/>
        <xdr:cNvGraphicFramePr/>
      </xdr:nvGraphicFramePr>
      <xdr:xfrm>
        <a:off x="12839700" y="4848225"/>
        <a:ext cx="0" cy="628650"/>
      </xdr:xfrm>
      <a:graphic>
        <a:graphicData uri="http://schemas.openxmlformats.org/drawingml/2006/chart">
          <c:chart xmlns:c="http://schemas.openxmlformats.org/drawingml/2006/chart" r:id="rId10"/>
        </a:graphicData>
      </a:graphic>
    </xdr:graphicFrame>
    <xdr:clientData/>
  </xdr:twoCellAnchor>
  <xdr:twoCellAnchor>
    <xdr:from>
      <xdr:col>255</xdr:col>
      <xdr:colOff>0</xdr:colOff>
      <xdr:row>25</xdr:row>
      <xdr:rowOff>76200</xdr:rowOff>
    </xdr:from>
    <xdr:to>
      <xdr:col>255</xdr:col>
      <xdr:colOff>0</xdr:colOff>
      <xdr:row>31</xdr:row>
      <xdr:rowOff>0</xdr:rowOff>
    </xdr:to>
    <xdr:graphicFrame>
      <xdr:nvGraphicFramePr>
        <xdr:cNvPr id="13" name="Chart 26"/>
        <xdr:cNvGraphicFramePr/>
      </xdr:nvGraphicFramePr>
      <xdr:xfrm>
        <a:off x="12839700" y="4524375"/>
        <a:ext cx="0" cy="952500"/>
      </xdr:xfrm>
      <a:graphic>
        <a:graphicData uri="http://schemas.openxmlformats.org/drawingml/2006/chart">
          <c:chart xmlns:c="http://schemas.openxmlformats.org/drawingml/2006/chart" r:id="rId11"/>
        </a:graphicData>
      </a:graphic>
    </xdr:graphicFrame>
    <xdr:clientData/>
  </xdr:twoCellAnchor>
  <xdr:twoCellAnchor>
    <xdr:from>
      <xdr:col>255</xdr:col>
      <xdr:colOff>0</xdr:colOff>
      <xdr:row>29</xdr:row>
      <xdr:rowOff>38100</xdr:rowOff>
    </xdr:from>
    <xdr:to>
      <xdr:col>255</xdr:col>
      <xdr:colOff>0</xdr:colOff>
      <xdr:row>31</xdr:row>
      <xdr:rowOff>95250</xdr:rowOff>
    </xdr:to>
    <xdr:graphicFrame>
      <xdr:nvGraphicFramePr>
        <xdr:cNvPr id="14" name="Chart 27"/>
        <xdr:cNvGraphicFramePr/>
      </xdr:nvGraphicFramePr>
      <xdr:xfrm>
        <a:off x="12839700" y="5286375"/>
        <a:ext cx="0" cy="285750"/>
      </xdr:xfrm>
      <a:graphic>
        <a:graphicData uri="http://schemas.openxmlformats.org/drawingml/2006/chart">
          <c:chart xmlns:c="http://schemas.openxmlformats.org/drawingml/2006/chart" r:id="rId12"/>
        </a:graphicData>
      </a:graphic>
    </xdr:graphicFrame>
    <xdr:clientData/>
  </xdr:twoCellAnchor>
  <xdr:twoCellAnchor>
    <xdr:from>
      <xdr:col>255</xdr:col>
      <xdr:colOff>0</xdr:colOff>
      <xdr:row>26</xdr:row>
      <xdr:rowOff>38100</xdr:rowOff>
    </xdr:from>
    <xdr:to>
      <xdr:col>255</xdr:col>
      <xdr:colOff>0</xdr:colOff>
      <xdr:row>31</xdr:row>
      <xdr:rowOff>0</xdr:rowOff>
    </xdr:to>
    <xdr:graphicFrame>
      <xdr:nvGraphicFramePr>
        <xdr:cNvPr id="15" name="Chart 28"/>
        <xdr:cNvGraphicFramePr/>
      </xdr:nvGraphicFramePr>
      <xdr:xfrm>
        <a:off x="12839700" y="4848225"/>
        <a:ext cx="0" cy="628650"/>
      </xdr:xfrm>
      <a:graphic>
        <a:graphicData uri="http://schemas.openxmlformats.org/drawingml/2006/chart">
          <c:chart xmlns:c="http://schemas.openxmlformats.org/drawingml/2006/chart" r:id="rId13"/>
        </a:graphicData>
      </a:graphic>
    </xdr:graphicFrame>
    <xdr:clientData/>
  </xdr:twoCellAnchor>
  <xdr:twoCellAnchor>
    <xdr:from>
      <xdr:col>14</xdr:col>
      <xdr:colOff>247650</xdr:colOff>
      <xdr:row>65525</xdr:row>
      <xdr:rowOff>0</xdr:rowOff>
    </xdr:from>
    <xdr:to>
      <xdr:col>255</xdr:col>
      <xdr:colOff>0</xdr:colOff>
      <xdr:row>65525</xdr:row>
      <xdr:rowOff>0</xdr:rowOff>
    </xdr:to>
    <xdr:graphicFrame>
      <xdr:nvGraphicFramePr>
        <xdr:cNvPr id="16" name="Chart 37"/>
        <xdr:cNvGraphicFramePr/>
      </xdr:nvGraphicFramePr>
      <xdr:xfrm>
        <a:off x="9763125" y="9039225"/>
        <a:ext cx="3076575" cy="0"/>
      </xdr:xfrm>
      <a:graphic>
        <a:graphicData uri="http://schemas.openxmlformats.org/drawingml/2006/chart">
          <c:chart xmlns:c="http://schemas.openxmlformats.org/drawingml/2006/chart" r:id="rId14"/>
        </a:graphicData>
      </a:graphic>
    </xdr:graphicFrame>
    <xdr:clientData/>
  </xdr:twoCellAnchor>
  <xdr:twoCellAnchor>
    <xdr:from>
      <xdr:col>14</xdr:col>
      <xdr:colOff>247650</xdr:colOff>
      <xdr:row>65525</xdr:row>
      <xdr:rowOff>0</xdr:rowOff>
    </xdr:from>
    <xdr:to>
      <xdr:col>255</xdr:col>
      <xdr:colOff>0</xdr:colOff>
      <xdr:row>65525</xdr:row>
      <xdr:rowOff>0</xdr:rowOff>
    </xdr:to>
    <xdr:graphicFrame>
      <xdr:nvGraphicFramePr>
        <xdr:cNvPr id="17" name="Chart 38"/>
        <xdr:cNvGraphicFramePr/>
      </xdr:nvGraphicFramePr>
      <xdr:xfrm>
        <a:off x="9763125" y="9039225"/>
        <a:ext cx="3076575" cy="0"/>
      </xdr:xfrm>
      <a:graphic>
        <a:graphicData uri="http://schemas.openxmlformats.org/drawingml/2006/chart">
          <c:chart xmlns:c="http://schemas.openxmlformats.org/drawingml/2006/chart" r:id="rId15"/>
        </a:graphicData>
      </a:graphic>
    </xdr:graphicFrame>
    <xdr:clientData/>
  </xdr:twoCellAnchor>
  <xdr:twoCellAnchor>
    <xdr:from>
      <xdr:col>14</xdr:col>
      <xdr:colOff>247650</xdr:colOff>
      <xdr:row>65525</xdr:row>
      <xdr:rowOff>0</xdr:rowOff>
    </xdr:from>
    <xdr:to>
      <xdr:col>255</xdr:col>
      <xdr:colOff>0</xdr:colOff>
      <xdr:row>65525</xdr:row>
      <xdr:rowOff>0</xdr:rowOff>
    </xdr:to>
    <xdr:graphicFrame>
      <xdr:nvGraphicFramePr>
        <xdr:cNvPr id="18" name="Chart 39"/>
        <xdr:cNvGraphicFramePr/>
      </xdr:nvGraphicFramePr>
      <xdr:xfrm>
        <a:off x="9763125" y="9039225"/>
        <a:ext cx="3076575" cy="0"/>
      </xdr:xfrm>
      <a:graphic>
        <a:graphicData uri="http://schemas.openxmlformats.org/drawingml/2006/chart">
          <c:chart xmlns:c="http://schemas.openxmlformats.org/drawingml/2006/chart" r:id="rId16"/>
        </a:graphicData>
      </a:graphic>
    </xdr:graphicFrame>
    <xdr:clientData/>
  </xdr:twoCellAnchor>
  <xdr:twoCellAnchor>
    <xdr:from>
      <xdr:col>14</xdr:col>
      <xdr:colOff>247650</xdr:colOff>
      <xdr:row>65525</xdr:row>
      <xdr:rowOff>0</xdr:rowOff>
    </xdr:from>
    <xdr:to>
      <xdr:col>255</xdr:col>
      <xdr:colOff>0</xdr:colOff>
      <xdr:row>65525</xdr:row>
      <xdr:rowOff>0</xdr:rowOff>
    </xdr:to>
    <xdr:graphicFrame>
      <xdr:nvGraphicFramePr>
        <xdr:cNvPr id="19" name="Chart 40"/>
        <xdr:cNvGraphicFramePr/>
      </xdr:nvGraphicFramePr>
      <xdr:xfrm>
        <a:off x="9763125" y="9039225"/>
        <a:ext cx="3076575" cy="0"/>
      </xdr:xfrm>
      <a:graphic>
        <a:graphicData uri="http://schemas.openxmlformats.org/drawingml/2006/chart">
          <c:chart xmlns:c="http://schemas.openxmlformats.org/drawingml/2006/chart" r:id="rId17"/>
        </a:graphicData>
      </a:graphic>
    </xdr:graphicFrame>
    <xdr:clientData/>
  </xdr:twoCellAnchor>
  <xdr:twoCellAnchor>
    <xdr:from>
      <xdr:col>14</xdr:col>
      <xdr:colOff>247650</xdr:colOff>
      <xdr:row>65525</xdr:row>
      <xdr:rowOff>0</xdr:rowOff>
    </xdr:from>
    <xdr:to>
      <xdr:col>255</xdr:col>
      <xdr:colOff>0</xdr:colOff>
      <xdr:row>65525</xdr:row>
      <xdr:rowOff>0</xdr:rowOff>
    </xdr:to>
    <xdr:graphicFrame>
      <xdr:nvGraphicFramePr>
        <xdr:cNvPr id="20" name="Chart 41"/>
        <xdr:cNvGraphicFramePr/>
      </xdr:nvGraphicFramePr>
      <xdr:xfrm>
        <a:off x="9763125" y="9039225"/>
        <a:ext cx="3076575" cy="0"/>
      </xdr:xfrm>
      <a:graphic>
        <a:graphicData uri="http://schemas.openxmlformats.org/drawingml/2006/chart">
          <c:chart xmlns:c="http://schemas.openxmlformats.org/drawingml/2006/chart" r:id="rId18"/>
        </a:graphicData>
      </a:graphic>
    </xdr:graphicFrame>
    <xdr:clientData/>
  </xdr:twoCellAnchor>
  <xdr:twoCellAnchor>
    <xdr:from>
      <xdr:col>17</xdr:col>
      <xdr:colOff>1038225</xdr:colOff>
      <xdr:row>65525</xdr:row>
      <xdr:rowOff>0</xdr:rowOff>
    </xdr:from>
    <xdr:to>
      <xdr:col>255</xdr:col>
      <xdr:colOff>0</xdr:colOff>
      <xdr:row>65525</xdr:row>
      <xdr:rowOff>0</xdr:rowOff>
    </xdr:to>
    <xdr:graphicFrame>
      <xdr:nvGraphicFramePr>
        <xdr:cNvPr id="21" name="Chart 42"/>
        <xdr:cNvGraphicFramePr/>
      </xdr:nvGraphicFramePr>
      <xdr:xfrm>
        <a:off x="11410950" y="9039225"/>
        <a:ext cx="1428750" cy="0"/>
      </xdr:xfrm>
      <a:graphic>
        <a:graphicData uri="http://schemas.openxmlformats.org/drawingml/2006/chart">
          <c:chart xmlns:c="http://schemas.openxmlformats.org/drawingml/2006/chart" r:id="rId19"/>
        </a:graphicData>
      </a:graphic>
    </xdr:graphicFrame>
    <xdr:clientData/>
  </xdr:twoCellAnchor>
  <xdr:twoCellAnchor>
    <xdr:from>
      <xdr:col>16</xdr:col>
      <xdr:colOff>228600</xdr:colOff>
      <xdr:row>65525</xdr:row>
      <xdr:rowOff>0</xdr:rowOff>
    </xdr:from>
    <xdr:to>
      <xdr:col>255</xdr:col>
      <xdr:colOff>0</xdr:colOff>
      <xdr:row>65525</xdr:row>
      <xdr:rowOff>0</xdr:rowOff>
    </xdr:to>
    <xdr:graphicFrame>
      <xdr:nvGraphicFramePr>
        <xdr:cNvPr id="22" name="Chart 43"/>
        <xdr:cNvGraphicFramePr/>
      </xdr:nvGraphicFramePr>
      <xdr:xfrm>
        <a:off x="9991725" y="9039225"/>
        <a:ext cx="2847975" cy="0"/>
      </xdr:xfrm>
      <a:graphic>
        <a:graphicData uri="http://schemas.openxmlformats.org/drawingml/2006/chart">
          <c:chart xmlns:c="http://schemas.openxmlformats.org/drawingml/2006/chart" r:id="rId20"/>
        </a:graphicData>
      </a:graphic>
    </xdr:graphicFrame>
    <xdr:clientData/>
  </xdr:twoCellAnchor>
  <xdr:twoCellAnchor>
    <xdr:from>
      <xdr:col>13</xdr:col>
      <xdr:colOff>609600</xdr:colOff>
      <xdr:row>65525</xdr:row>
      <xdr:rowOff>0</xdr:rowOff>
    </xdr:from>
    <xdr:to>
      <xdr:col>255</xdr:col>
      <xdr:colOff>0</xdr:colOff>
      <xdr:row>65525</xdr:row>
      <xdr:rowOff>0</xdr:rowOff>
    </xdr:to>
    <xdr:graphicFrame>
      <xdr:nvGraphicFramePr>
        <xdr:cNvPr id="23" name="Chart 44"/>
        <xdr:cNvGraphicFramePr/>
      </xdr:nvGraphicFramePr>
      <xdr:xfrm>
        <a:off x="9315450" y="9039225"/>
        <a:ext cx="3524250" cy="0"/>
      </xdr:xfrm>
      <a:graphic>
        <a:graphicData uri="http://schemas.openxmlformats.org/drawingml/2006/chart">
          <c:chart xmlns:c="http://schemas.openxmlformats.org/drawingml/2006/chart" r:id="rId21"/>
        </a:graphicData>
      </a:graphic>
    </xdr:graphicFrame>
    <xdr:clientData/>
  </xdr:twoCellAnchor>
  <xdr:twoCellAnchor>
    <xdr:from>
      <xdr:col>11</xdr:col>
      <xdr:colOff>66675</xdr:colOff>
      <xdr:row>22</xdr:row>
      <xdr:rowOff>219075</xdr:rowOff>
    </xdr:from>
    <xdr:to>
      <xdr:col>11</xdr:col>
      <xdr:colOff>923925</xdr:colOff>
      <xdr:row>22</xdr:row>
      <xdr:rowOff>219075</xdr:rowOff>
    </xdr:to>
    <xdr:sp>
      <xdr:nvSpPr>
        <xdr:cNvPr id="24" name="Line 50"/>
        <xdr:cNvSpPr>
          <a:spLocks/>
        </xdr:cNvSpPr>
      </xdr:nvSpPr>
      <xdr:spPr>
        <a:xfrm flipV="1">
          <a:off x="7124700" y="4010025"/>
          <a:ext cx="857250" cy="0"/>
        </a:xfrm>
        <a:prstGeom prst="line">
          <a:avLst/>
        </a:prstGeom>
        <a:noFill/>
        <a:ln w="635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255</xdr:col>
      <xdr:colOff>0</xdr:colOff>
      <xdr:row>26</xdr:row>
      <xdr:rowOff>38100</xdr:rowOff>
    </xdr:from>
    <xdr:to>
      <xdr:col>255</xdr:col>
      <xdr:colOff>0</xdr:colOff>
      <xdr:row>29</xdr:row>
      <xdr:rowOff>0</xdr:rowOff>
    </xdr:to>
    <xdr:graphicFrame>
      <xdr:nvGraphicFramePr>
        <xdr:cNvPr id="25" name="Chart 60"/>
        <xdr:cNvGraphicFramePr/>
      </xdr:nvGraphicFramePr>
      <xdr:xfrm>
        <a:off x="12839700" y="4848225"/>
        <a:ext cx="0" cy="400050"/>
      </xdr:xfrm>
      <a:graphic>
        <a:graphicData uri="http://schemas.openxmlformats.org/drawingml/2006/chart">
          <c:chart xmlns:c="http://schemas.openxmlformats.org/drawingml/2006/chart" r:id="rId22"/>
        </a:graphicData>
      </a:graphic>
    </xdr:graphicFrame>
    <xdr:clientData/>
  </xdr:twoCellAnchor>
  <xdr:twoCellAnchor>
    <xdr:from>
      <xdr:col>255</xdr:col>
      <xdr:colOff>0</xdr:colOff>
      <xdr:row>27</xdr:row>
      <xdr:rowOff>76200</xdr:rowOff>
    </xdr:from>
    <xdr:to>
      <xdr:col>255</xdr:col>
      <xdr:colOff>0</xdr:colOff>
      <xdr:row>29</xdr:row>
      <xdr:rowOff>0</xdr:rowOff>
    </xdr:to>
    <xdr:graphicFrame>
      <xdr:nvGraphicFramePr>
        <xdr:cNvPr id="26" name="Chart 61"/>
        <xdr:cNvGraphicFramePr/>
      </xdr:nvGraphicFramePr>
      <xdr:xfrm>
        <a:off x="12839700" y="4924425"/>
        <a:ext cx="0" cy="323850"/>
      </xdr:xfrm>
      <a:graphic>
        <a:graphicData uri="http://schemas.openxmlformats.org/drawingml/2006/chart">
          <c:chart xmlns:c="http://schemas.openxmlformats.org/drawingml/2006/chart" r:id="rId23"/>
        </a:graphicData>
      </a:graphic>
    </xdr:graphicFrame>
    <xdr:clientData/>
  </xdr:twoCellAnchor>
  <xdr:twoCellAnchor>
    <xdr:from>
      <xdr:col>255</xdr:col>
      <xdr:colOff>0</xdr:colOff>
      <xdr:row>26</xdr:row>
      <xdr:rowOff>38100</xdr:rowOff>
    </xdr:from>
    <xdr:to>
      <xdr:col>255</xdr:col>
      <xdr:colOff>0</xdr:colOff>
      <xdr:row>29</xdr:row>
      <xdr:rowOff>0</xdr:rowOff>
    </xdr:to>
    <xdr:graphicFrame>
      <xdr:nvGraphicFramePr>
        <xdr:cNvPr id="27" name="Chart 62"/>
        <xdr:cNvGraphicFramePr/>
      </xdr:nvGraphicFramePr>
      <xdr:xfrm>
        <a:off x="12839700" y="4848225"/>
        <a:ext cx="0" cy="400050"/>
      </xdr:xfrm>
      <a:graphic>
        <a:graphicData uri="http://schemas.openxmlformats.org/drawingml/2006/chart">
          <c:chart xmlns:c="http://schemas.openxmlformats.org/drawingml/2006/chart" r:id="rId24"/>
        </a:graphicData>
      </a:graphic>
    </xdr:graphicFrame>
    <xdr:clientData/>
  </xdr:twoCellAnchor>
  <xdr:twoCellAnchor>
    <xdr:from>
      <xdr:col>255</xdr:col>
      <xdr:colOff>0</xdr:colOff>
      <xdr:row>25</xdr:row>
      <xdr:rowOff>76200</xdr:rowOff>
    </xdr:from>
    <xdr:to>
      <xdr:col>255</xdr:col>
      <xdr:colOff>0</xdr:colOff>
      <xdr:row>29</xdr:row>
      <xdr:rowOff>0</xdr:rowOff>
    </xdr:to>
    <xdr:graphicFrame>
      <xdr:nvGraphicFramePr>
        <xdr:cNvPr id="28" name="Chart 63"/>
        <xdr:cNvGraphicFramePr/>
      </xdr:nvGraphicFramePr>
      <xdr:xfrm>
        <a:off x="12839700" y="4524375"/>
        <a:ext cx="0" cy="723900"/>
      </xdr:xfrm>
      <a:graphic>
        <a:graphicData uri="http://schemas.openxmlformats.org/drawingml/2006/chart">
          <c:chart xmlns:c="http://schemas.openxmlformats.org/drawingml/2006/chart" r:id="rId25"/>
        </a:graphicData>
      </a:graphic>
    </xdr:graphicFrame>
    <xdr:clientData/>
  </xdr:twoCellAnchor>
  <xdr:twoCellAnchor>
    <xdr:from>
      <xdr:col>255</xdr:col>
      <xdr:colOff>0</xdr:colOff>
      <xdr:row>28</xdr:row>
      <xdr:rowOff>0</xdr:rowOff>
    </xdr:from>
    <xdr:to>
      <xdr:col>255</xdr:col>
      <xdr:colOff>0</xdr:colOff>
      <xdr:row>29</xdr:row>
      <xdr:rowOff>66675</xdr:rowOff>
    </xdr:to>
    <xdr:graphicFrame>
      <xdr:nvGraphicFramePr>
        <xdr:cNvPr id="29" name="Chart 64"/>
        <xdr:cNvGraphicFramePr/>
      </xdr:nvGraphicFramePr>
      <xdr:xfrm>
        <a:off x="12839700" y="5010150"/>
        <a:ext cx="0" cy="304800"/>
      </xdr:xfrm>
      <a:graphic>
        <a:graphicData uri="http://schemas.openxmlformats.org/drawingml/2006/chart">
          <c:chart xmlns:c="http://schemas.openxmlformats.org/drawingml/2006/chart" r:id="rId26"/>
        </a:graphicData>
      </a:graphic>
    </xdr:graphicFrame>
    <xdr:clientData/>
  </xdr:twoCellAnchor>
  <xdr:twoCellAnchor>
    <xdr:from>
      <xdr:col>255</xdr:col>
      <xdr:colOff>0</xdr:colOff>
      <xdr:row>26</xdr:row>
      <xdr:rowOff>38100</xdr:rowOff>
    </xdr:from>
    <xdr:to>
      <xdr:col>255</xdr:col>
      <xdr:colOff>0</xdr:colOff>
      <xdr:row>29</xdr:row>
      <xdr:rowOff>0</xdr:rowOff>
    </xdr:to>
    <xdr:graphicFrame>
      <xdr:nvGraphicFramePr>
        <xdr:cNvPr id="30" name="Chart 65"/>
        <xdr:cNvGraphicFramePr/>
      </xdr:nvGraphicFramePr>
      <xdr:xfrm>
        <a:off x="12839700" y="4848225"/>
        <a:ext cx="0" cy="400050"/>
      </xdr:xfrm>
      <a:graphic>
        <a:graphicData uri="http://schemas.openxmlformats.org/drawingml/2006/chart">
          <c:chart xmlns:c="http://schemas.openxmlformats.org/drawingml/2006/chart" r:id="rId27"/>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xdr:colOff>
      <xdr:row>8</xdr:row>
      <xdr:rowOff>76200</xdr:rowOff>
    </xdr:from>
    <xdr:to>
      <xdr:col>8</xdr:col>
      <xdr:colOff>9525</xdr:colOff>
      <xdr:row>23</xdr:row>
      <xdr:rowOff>152400</xdr:rowOff>
    </xdr:to>
    <xdr:graphicFrame>
      <xdr:nvGraphicFramePr>
        <xdr:cNvPr id="1" name="Chart 1"/>
        <xdr:cNvGraphicFramePr/>
      </xdr:nvGraphicFramePr>
      <xdr:xfrm>
        <a:off x="285750" y="1457325"/>
        <a:ext cx="3648075" cy="2505075"/>
      </xdr:xfrm>
      <a:graphic>
        <a:graphicData uri="http://schemas.openxmlformats.org/drawingml/2006/chart">
          <c:chart xmlns:c="http://schemas.openxmlformats.org/drawingml/2006/chart" r:id="rId1"/>
        </a:graphicData>
      </a:graphic>
    </xdr:graphicFrame>
    <xdr:clientData/>
  </xdr:twoCellAnchor>
  <xdr:twoCellAnchor>
    <xdr:from>
      <xdr:col>8</xdr:col>
      <xdr:colOff>228600</xdr:colOff>
      <xdr:row>8</xdr:row>
      <xdr:rowOff>76200</xdr:rowOff>
    </xdr:from>
    <xdr:to>
      <xdr:col>15</xdr:col>
      <xdr:colOff>9525</xdr:colOff>
      <xdr:row>24</xdr:row>
      <xdr:rowOff>9525</xdr:rowOff>
    </xdr:to>
    <xdr:graphicFrame>
      <xdr:nvGraphicFramePr>
        <xdr:cNvPr id="2" name="Chart 3"/>
        <xdr:cNvGraphicFramePr/>
      </xdr:nvGraphicFramePr>
      <xdr:xfrm>
        <a:off x="4152900" y="1457325"/>
        <a:ext cx="4048125" cy="25241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gov.uk/government/publications/nhs-outcomes-framework-2013-to-2014" TargetMode="External" /><Relationship Id="rId2" Type="http://schemas.openxmlformats.org/officeDocument/2006/relationships/hyperlink" Target="http://webarchive.nationalarchives.gov.uk/*/http:/www.dh.gov.uk/en/Publicationsandstatistics/Publications/PublicationsPolicyAndGuidance/DH_091443"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2">
    <tabColor indexed="9"/>
    <pageSetUpPr fitToPage="1"/>
  </sheetPr>
  <dimension ref="A2:R79"/>
  <sheetViews>
    <sheetView showGridLines="0" tabSelected="1" zoomScalePageLayoutView="0" workbookViewId="0" topLeftCell="A1">
      <selection activeCell="A1" sqref="A1"/>
    </sheetView>
  </sheetViews>
  <sheetFormatPr defaultColWidth="0" defaultRowHeight="12.75" customHeight="1" zeroHeight="1"/>
  <cols>
    <col min="1" max="1" width="0.9921875" style="120" customWidth="1"/>
    <col min="2" max="2" width="2.28125" style="120" customWidth="1"/>
    <col min="3" max="3" width="17.00390625" style="120" customWidth="1"/>
    <col min="4" max="4" width="82.140625" style="120" customWidth="1"/>
    <col min="5" max="5" width="16.7109375" style="120" customWidth="1"/>
    <col min="6" max="6" width="17.57421875" style="120" customWidth="1"/>
    <col min="7" max="7" width="2.421875" style="120" customWidth="1"/>
    <col min="8" max="8" width="9.140625" style="120" customWidth="1"/>
    <col min="9" max="9" width="46.57421875" style="120" hidden="1" customWidth="1"/>
    <col min="10" max="11" width="2.140625" style="120" hidden="1" customWidth="1"/>
    <col min="12" max="12" width="10.7109375" style="120" hidden="1" customWidth="1"/>
    <col min="13" max="13" width="5.7109375" style="120" hidden="1" customWidth="1"/>
    <col min="14" max="16" width="10.7109375" style="120" hidden="1" customWidth="1"/>
    <col min="17" max="17" width="13.421875" style="120" hidden="1" customWidth="1"/>
    <col min="18" max="18" width="4.28125" style="120" hidden="1" customWidth="1"/>
    <col min="19" max="19" width="8.28125" style="120" hidden="1" customWidth="1"/>
    <col min="20" max="37" width="4.28125" style="120" hidden="1" customWidth="1"/>
    <col min="38" max="38" width="4.421875" style="120" hidden="1" customWidth="1"/>
    <col min="39" max="16384" width="4.28125" style="120" hidden="1" customWidth="1"/>
  </cols>
  <sheetData>
    <row r="1" ht="4.5" customHeight="1"/>
    <row r="2" spans="1:12" ht="44.25" customHeight="1">
      <c r="A2" s="121"/>
      <c r="B2" s="122"/>
      <c r="C2" s="123"/>
      <c r="D2" s="124" t="s">
        <v>444</v>
      </c>
      <c r="E2" s="125"/>
      <c r="F2" s="125"/>
      <c r="G2" s="126"/>
      <c r="H2" s="127"/>
      <c r="I2" s="127"/>
      <c r="J2" s="128"/>
      <c r="K2" s="129"/>
      <c r="L2" s="129"/>
    </row>
    <row r="3" spans="1:12" ht="8.25" customHeight="1">
      <c r="A3" s="121"/>
      <c r="B3" s="130"/>
      <c r="C3" s="131"/>
      <c r="D3" s="131"/>
      <c r="E3" s="131"/>
      <c r="F3" s="131"/>
      <c r="G3" s="132"/>
      <c r="H3" s="133"/>
      <c r="I3" s="133"/>
      <c r="J3" s="134"/>
      <c r="K3" s="135"/>
      <c r="L3" s="135"/>
    </row>
    <row r="4" spans="1:12" ht="26.25">
      <c r="A4" s="121"/>
      <c r="B4" s="130"/>
      <c r="C4" s="182" t="s">
        <v>445</v>
      </c>
      <c r="D4" s="181"/>
      <c r="E4" s="181"/>
      <c r="F4" s="181"/>
      <c r="G4" s="132"/>
      <c r="H4" s="133"/>
      <c r="I4" s="133"/>
      <c r="J4" s="134"/>
      <c r="K4" s="135"/>
      <c r="L4" s="135"/>
    </row>
    <row r="5" spans="1:12" ht="12.75" customHeight="1">
      <c r="A5" s="121"/>
      <c r="B5" s="130"/>
      <c r="C5" s="237" t="s">
        <v>451</v>
      </c>
      <c r="D5" s="240"/>
      <c r="E5" s="240"/>
      <c r="F5" s="240"/>
      <c r="G5" s="132"/>
      <c r="H5" s="133"/>
      <c r="I5" s="133"/>
      <c r="J5" s="134"/>
      <c r="K5" s="135"/>
      <c r="L5" s="135"/>
    </row>
    <row r="6" spans="1:12" ht="12" customHeight="1">
      <c r="A6" s="121"/>
      <c r="B6" s="130"/>
      <c r="C6" s="131"/>
      <c r="D6" s="184"/>
      <c r="E6" s="184"/>
      <c r="F6" s="184"/>
      <c r="G6" s="132"/>
      <c r="H6" s="133"/>
      <c r="I6" s="133"/>
      <c r="J6" s="134"/>
      <c r="K6" s="135"/>
      <c r="L6" s="135"/>
    </row>
    <row r="7" spans="1:12" ht="65.25" customHeight="1">
      <c r="A7" s="121"/>
      <c r="B7" s="130"/>
      <c r="C7" s="238" t="s">
        <v>446</v>
      </c>
      <c r="D7" s="239"/>
      <c r="E7" s="239"/>
      <c r="F7" s="239"/>
      <c r="G7" s="132"/>
      <c r="H7" s="133"/>
      <c r="I7" s="133"/>
      <c r="J7" s="134"/>
      <c r="K7" s="135"/>
      <c r="L7" s="135"/>
    </row>
    <row r="8" spans="1:12" ht="12" customHeight="1">
      <c r="A8" s="121"/>
      <c r="B8" s="130"/>
      <c r="C8" s="183"/>
      <c r="E8" s="181"/>
      <c r="F8" s="181"/>
      <c r="G8" s="132"/>
      <c r="H8" s="133"/>
      <c r="I8" s="133"/>
      <c r="J8" s="134"/>
      <c r="K8" s="135"/>
      <c r="L8" s="135"/>
    </row>
    <row r="9" spans="1:12" ht="12.75" customHeight="1">
      <c r="A9" s="121"/>
      <c r="B9" s="130"/>
      <c r="C9" s="185" t="s">
        <v>447</v>
      </c>
      <c r="E9" s="181"/>
      <c r="F9" s="181"/>
      <c r="G9" s="132"/>
      <c r="H9" s="133"/>
      <c r="I9" s="133"/>
      <c r="J9" s="134"/>
      <c r="K9" s="135"/>
      <c r="L9" s="135"/>
    </row>
    <row r="10" spans="1:12" ht="12" customHeight="1">
      <c r="A10" s="121"/>
      <c r="B10" s="130"/>
      <c r="C10" s="183"/>
      <c r="E10" s="181"/>
      <c r="F10" s="181"/>
      <c r="G10" s="132"/>
      <c r="H10" s="133"/>
      <c r="I10" s="133"/>
      <c r="J10" s="134"/>
      <c r="K10" s="135"/>
      <c r="L10" s="135"/>
    </row>
    <row r="11" spans="1:12" ht="39" customHeight="1">
      <c r="A11" s="121"/>
      <c r="B11" s="130"/>
      <c r="C11" s="237" t="s">
        <v>494</v>
      </c>
      <c r="D11" s="237"/>
      <c r="E11" s="237"/>
      <c r="F11" s="237"/>
      <c r="G11" s="132"/>
      <c r="H11" s="133"/>
      <c r="I11" s="133"/>
      <c r="J11" s="134"/>
      <c r="K11" s="135"/>
      <c r="L11" s="135"/>
    </row>
    <row r="12" spans="1:12" ht="12" customHeight="1">
      <c r="A12" s="121"/>
      <c r="B12" s="130"/>
      <c r="C12" s="131"/>
      <c r="D12" s="131"/>
      <c r="E12" s="131"/>
      <c r="F12" s="131"/>
      <c r="G12" s="132"/>
      <c r="H12" s="133"/>
      <c r="I12" s="133"/>
      <c r="J12" s="134"/>
      <c r="K12" s="135"/>
      <c r="L12" s="135"/>
    </row>
    <row r="13" spans="1:12" ht="18" customHeight="1">
      <c r="A13" s="121"/>
      <c r="B13" s="130"/>
      <c r="C13" s="233" t="s">
        <v>450</v>
      </c>
      <c r="D13" s="234"/>
      <c r="E13" s="234"/>
      <c r="F13" s="234"/>
      <c r="G13" s="132"/>
      <c r="H13" s="133"/>
      <c r="I13" s="133"/>
      <c r="J13" s="134"/>
      <c r="K13" s="135"/>
      <c r="L13" s="135"/>
    </row>
    <row r="14" spans="1:12" ht="26.25">
      <c r="A14" s="121"/>
      <c r="B14" s="130"/>
      <c r="C14" s="234" t="s">
        <v>453</v>
      </c>
      <c r="D14" s="234"/>
      <c r="E14" s="234"/>
      <c r="F14" s="234"/>
      <c r="G14" s="132"/>
      <c r="H14" s="133"/>
      <c r="I14" s="133"/>
      <c r="J14" s="134"/>
      <c r="K14" s="135"/>
      <c r="L14" s="135"/>
    </row>
    <row r="15" spans="1:12" ht="26.25">
      <c r="A15" s="121"/>
      <c r="B15" s="130"/>
      <c r="C15" s="241" t="s">
        <v>449</v>
      </c>
      <c r="D15" s="241"/>
      <c r="E15" s="241"/>
      <c r="F15" s="241"/>
      <c r="G15" s="136"/>
      <c r="H15" s="133"/>
      <c r="I15" s="133"/>
      <c r="J15" s="134"/>
      <c r="K15" s="135"/>
      <c r="L15" s="135"/>
    </row>
    <row r="16" spans="1:12" ht="5.25" customHeight="1">
      <c r="A16" s="121"/>
      <c r="B16" s="130"/>
      <c r="C16" s="187"/>
      <c r="D16" s="187"/>
      <c r="E16" s="187"/>
      <c r="F16" s="187"/>
      <c r="G16" s="136"/>
      <c r="H16" s="133"/>
      <c r="I16" s="133"/>
      <c r="J16" s="134"/>
      <c r="K16" s="135"/>
      <c r="L16" s="135"/>
    </row>
    <row r="17" spans="1:12" ht="12.75" customHeight="1">
      <c r="A17" s="121"/>
      <c r="B17" s="130"/>
      <c r="C17" s="137" t="s">
        <v>452</v>
      </c>
      <c r="D17" s="137"/>
      <c r="E17" s="137"/>
      <c r="F17" s="137"/>
      <c r="G17" s="136"/>
      <c r="H17" s="133"/>
      <c r="I17" s="133"/>
      <c r="J17" s="134"/>
      <c r="K17" s="135"/>
      <c r="L17" s="135"/>
    </row>
    <row r="18" spans="1:12" ht="12" customHeight="1">
      <c r="A18" s="121"/>
      <c r="B18" s="130"/>
      <c r="C18" s="137"/>
      <c r="D18" s="137"/>
      <c r="E18" s="137"/>
      <c r="F18" s="137"/>
      <c r="G18" s="136"/>
      <c r="H18" s="133"/>
      <c r="I18" s="133"/>
      <c r="J18" s="134"/>
      <c r="K18" s="135"/>
      <c r="L18" s="135"/>
    </row>
    <row r="19" spans="1:12" ht="12.75" customHeight="1">
      <c r="A19" s="121"/>
      <c r="B19" s="130"/>
      <c r="C19" s="186" t="s">
        <v>495</v>
      </c>
      <c r="D19" s="137"/>
      <c r="E19" s="137"/>
      <c r="F19" s="137"/>
      <c r="G19" s="136"/>
      <c r="H19" s="133"/>
      <c r="I19" s="133"/>
      <c r="J19" s="134"/>
      <c r="K19" s="135"/>
      <c r="L19" s="135"/>
    </row>
    <row r="20" spans="1:12" ht="12.75" customHeight="1">
      <c r="A20" s="121"/>
      <c r="B20" s="130"/>
      <c r="C20" s="173" t="s">
        <v>448</v>
      </c>
      <c r="D20" s="137"/>
      <c r="E20" s="137"/>
      <c r="F20" s="137"/>
      <c r="G20" s="136"/>
      <c r="H20" s="133"/>
      <c r="I20" s="133"/>
      <c r="J20" s="134"/>
      <c r="K20" s="135"/>
      <c r="L20" s="135"/>
    </row>
    <row r="21" spans="1:12" ht="12" customHeight="1">
      <c r="A21" s="121"/>
      <c r="B21" s="130"/>
      <c r="C21" s="173"/>
      <c r="D21" s="137"/>
      <c r="E21" s="137"/>
      <c r="F21" s="137"/>
      <c r="G21" s="136"/>
      <c r="H21" s="133"/>
      <c r="I21" s="133"/>
      <c r="J21" s="134"/>
      <c r="K21" s="135"/>
      <c r="L21" s="135"/>
    </row>
    <row r="22" spans="1:12" ht="24.75" customHeight="1">
      <c r="A22" s="121"/>
      <c r="B22" s="130"/>
      <c r="C22" s="235" t="s">
        <v>493</v>
      </c>
      <c r="D22" s="236"/>
      <c r="E22" s="236"/>
      <c r="F22" s="236"/>
      <c r="G22" s="136"/>
      <c r="H22" s="133"/>
      <c r="I22" s="133"/>
      <c r="J22" s="134"/>
      <c r="K22" s="135"/>
      <c r="L22" s="135"/>
    </row>
    <row r="23" spans="1:12" s="145" customFormat="1" ht="12.75" customHeight="1">
      <c r="A23" s="138"/>
      <c r="B23" s="139"/>
      <c r="C23" s="173" t="s">
        <v>492</v>
      </c>
      <c r="D23" s="228"/>
      <c r="E23" s="229"/>
      <c r="F23" s="230"/>
      <c r="G23" s="142"/>
      <c r="H23" s="141"/>
      <c r="I23" s="141"/>
      <c r="J23" s="143"/>
      <c r="K23" s="144"/>
      <c r="L23" s="144"/>
    </row>
    <row r="24" spans="1:12" s="145" customFormat="1" ht="8.25" customHeight="1">
      <c r="A24" s="138"/>
      <c r="B24" s="139"/>
      <c r="D24" s="140"/>
      <c r="E24" s="140"/>
      <c r="F24" s="141"/>
      <c r="G24" s="142"/>
      <c r="H24" s="141"/>
      <c r="I24" s="141"/>
      <c r="J24" s="143"/>
      <c r="K24" s="144"/>
      <c r="L24" s="144"/>
    </row>
    <row r="25" spans="1:12" s="145" customFormat="1" ht="14.25" customHeight="1">
      <c r="A25" s="138"/>
      <c r="B25" s="139"/>
      <c r="C25" s="231" t="s">
        <v>185</v>
      </c>
      <c r="D25" s="232"/>
      <c r="E25" s="232"/>
      <c r="F25" s="232"/>
      <c r="G25" s="142"/>
      <c r="H25" s="141"/>
      <c r="I25" s="141"/>
      <c r="J25" s="143"/>
      <c r="K25" s="144"/>
      <c r="L25" s="144"/>
    </row>
    <row r="26" spans="1:12" ht="6.75" customHeight="1">
      <c r="A26" s="121"/>
      <c r="B26" s="146"/>
      <c r="C26" s="147"/>
      <c r="D26" s="147"/>
      <c r="E26" s="147"/>
      <c r="F26" s="147"/>
      <c r="G26" s="148"/>
      <c r="H26" s="133"/>
      <c r="I26" s="133"/>
      <c r="J26" s="134"/>
      <c r="K26" s="135"/>
      <c r="L26" s="135"/>
    </row>
    <row r="27" spans="1:10" ht="14.25" customHeight="1">
      <c r="A27" s="121"/>
      <c r="B27" s="121"/>
      <c r="C27" s="121"/>
      <c r="D27" s="121"/>
      <c r="E27" s="121"/>
      <c r="F27" s="121"/>
      <c r="G27" s="121"/>
      <c r="H27" s="121"/>
      <c r="I27" s="121"/>
      <c r="J27" s="121"/>
    </row>
    <row r="28" spans="1:10" ht="12.75" hidden="1">
      <c r="A28" s="121"/>
      <c r="B28" s="121"/>
      <c r="C28" s="121"/>
      <c r="D28" s="121"/>
      <c r="E28" s="121"/>
      <c r="F28" s="121"/>
      <c r="G28" s="121"/>
      <c r="H28" s="121"/>
      <c r="I28" s="121"/>
      <c r="J28" s="121"/>
    </row>
    <row r="29" spans="1:10" ht="12.75" hidden="1">
      <c r="A29" s="121"/>
      <c r="B29" s="121"/>
      <c r="C29" s="121"/>
      <c r="D29" s="121"/>
      <c r="E29" s="121"/>
      <c r="F29" s="121"/>
      <c r="G29" s="121"/>
      <c r="H29" s="121"/>
      <c r="I29" s="121"/>
      <c r="J29" s="121"/>
    </row>
    <row r="30" spans="1:10" ht="12.75" hidden="1">
      <c r="A30" s="121"/>
      <c r="B30" s="121"/>
      <c r="C30" s="121"/>
      <c r="D30" s="121"/>
      <c r="E30" s="121"/>
      <c r="F30" s="121"/>
      <c r="G30" s="121"/>
      <c r="H30" s="121"/>
      <c r="I30" s="121"/>
      <c r="J30" s="121"/>
    </row>
    <row r="31" spans="1:10" ht="12.75" hidden="1">
      <c r="A31" s="121"/>
      <c r="B31" s="121"/>
      <c r="C31" s="121"/>
      <c r="D31" s="121"/>
      <c r="E31" s="121"/>
      <c r="F31" s="121"/>
      <c r="G31" s="121"/>
      <c r="H31" s="121"/>
      <c r="I31" s="121"/>
      <c r="J31" s="121"/>
    </row>
    <row r="32" spans="1:10" ht="12.75" hidden="1">
      <c r="A32" s="121"/>
      <c r="B32" s="121"/>
      <c r="C32" s="121"/>
      <c r="D32" s="121"/>
      <c r="E32" s="121"/>
      <c r="F32" s="121"/>
      <c r="G32" s="121"/>
      <c r="H32" s="121"/>
      <c r="I32" s="121"/>
      <c r="J32" s="121"/>
    </row>
    <row r="33" spans="1:10" ht="12.75" hidden="1">
      <c r="A33" s="121"/>
      <c r="B33" s="121"/>
      <c r="C33" s="121"/>
      <c r="D33" s="121"/>
      <c r="E33" s="121"/>
      <c r="F33" s="121"/>
      <c r="G33" s="121"/>
      <c r="H33" s="121"/>
      <c r="I33" s="121"/>
      <c r="J33" s="121"/>
    </row>
    <row r="34" spans="1:10" ht="12.75" hidden="1">
      <c r="A34" s="121"/>
      <c r="B34" s="121"/>
      <c r="C34" s="121"/>
      <c r="D34" s="121"/>
      <c r="E34" s="121"/>
      <c r="F34" s="121"/>
      <c r="G34" s="121"/>
      <c r="H34" s="121"/>
      <c r="I34" s="121"/>
      <c r="J34" s="121"/>
    </row>
    <row r="35" spans="1:10" ht="12.75" hidden="1">
      <c r="A35" s="121"/>
      <c r="B35" s="121"/>
      <c r="C35" s="121"/>
      <c r="D35" s="121"/>
      <c r="E35" s="121"/>
      <c r="F35" s="121"/>
      <c r="G35" s="121"/>
      <c r="H35" s="121"/>
      <c r="I35" s="121"/>
      <c r="J35" s="121"/>
    </row>
    <row r="36" spans="1:10" ht="12.75" hidden="1">
      <c r="A36" s="121"/>
      <c r="B36" s="121"/>
      <c r="C36" s="121"/>
      <c r="D36" s="121"/>
      <c r="E36" s="121"/>
      <c r="F36" s="121"/>
      <c r="G36" s="121"/>
      <c r="H36" s="121"/>
      <c r="I36" s="121"/>
      <c r="J36" s="121"/>
    </row>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row r="58" spans="6:18" ht="12.75" hidden="1">
      <c r="F58" s="120">
        <f>IF(F57="","",(IF(ISERROR(IF(F57&lt;(0.95*F56),"RED",IF(F57&gt;=F56,"GRN",IF((F57&gt;(0.95*F56)),"AMB","")))),"",IF(F57&lt;(0.95*F56),"RED",IF(F57&gt;=F56,"GRN",IF((F57&gt;(0.95*F56)),"AMB",""))))))</f>
      </c>
      <c r="G58" s="120">
        <f aca="true" t="shared" si="0" ref="G58:R58">IF(G57="","",(IF(ISERROR(IF(G57&lt;(0.95*G56),"RED",IF(G57&gt;=G56,"GRN",IF((G57&gt;(0.95*G56)),"AMB","")))),"",IF(G57&lt;(0.95*G56),"RED",IF(G57&gt;=G56,"GRN",IF((G57&gt;(0.95*G56)),"AMB",""))))))</f>
      </c>
      <c r="H58" s="120">
        <f t="shared" si="0"/>
      </c>
      <c r="I58" s="120">
        <f t="shared" si="0"/>
      </c>
      <c r="J58" s="120">
        <f t="shared" si="0"/>
      </c>
      <c r="K58" s="120">
        <f t="shared" si="0"/>
      </c>
      <c r="L58" s="120">
        <f t="shared" si="0"/>
      </c>
      <c r="M58" s="120">
        <f t="shared" si="0"/>
      </c>
      <c r="N58" s="120">
        <f t="shared" si="0"/>
      </c>
      <c r="O58" s="120">
        <f t="shared" si="0"/>
      </c>
      <c r="P58" s="120">
        <f t="shared" si="0"/>
      </c>
      <c r="Q58" s="120">
        <f t="shared" si="0"/>
      </c>
      <c r="R58" s="120">
        <f t="shared" si="0"/>
      </c>
    </row>
    <row r="59" ht="12.75" hidden="1"/>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hidden="1"/>
    <row r="77" ht="12.75" hidden="1"/>
    <row r="78" ht="12.75" hidden="1"/>
    <row r="79" ht="12.75" hidden="1">
      <c r="D79" s="120">
        <v>1</v>
      </c>
    </row>
    <row r="80" ht="12.75" hidden="1"/>
    <row r="81" ht="12.75" hidden="1"/>
    <row r="82" ht="12.75" hidden="1"/>
    <row r="83" ht="12.75" hidden="1"/>
    <row r="84" ht="12.75" hidden="1"/>
    <row r="85" ht="12.75" hidden="1"/>
    <row r="86" ht="12.75" hidden="1"/>
    <row r="87" ht="12.75" hidden="1"/>
    <row r="88" ht="12.75" hidden="1"/>
    <row r="89" ht="12.75" hidden="1"/>
    <row r="90" ht="12.75" hidden="1"/>
    <row r="91" ht="12.75" hidden="1"/>
    <row r="92" ht="12.75" hidden="1"/>
    <row r="93" ht="12.75" hidden="1"/>
    <row r="94" ht="12.75" hidden="1"/>
    <row r="95" ht="1.5" customHeight="1"/>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hidden="1"/>
    <row r="127" ht="12.75" hidden="1"/>
    <row r="128" ht="12.75" hidden="1"/>
    <row r="129" ht="12.75" hidden="1"/>
    <row r="130" ht="12.75"/>
    <row r="131" ht="12.75"/>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sheetData>
  <sheetProtection/>
  <mergeCells count="8">
    <mergeCell ref="C25:F25"/>
    <mergeCell ref="C13:F13"/>
    <mergeCell ref="C22:F22"/>
    <mergeCell ref="C11:F11"/>
    <mergeCell ref="C7:F7"/>
    <mergeCell ref="C5:F5"/>
    <mergeCell ref="C15:F15"/>
    <mergeCell ref="C14:F14"/>
  </mergeCells>
  <hyperlinks>
    <hyperlink ref="C20" r:id="rId1" display="https://www.gov.uk/government/publications/nhs-outcomes-framework-2013-to-2014"/>
    <hyperlink ref="C23" r:id="rId2" display="http://webarchive.nationalarchives.gov.uk/*/http://www.dh.gov.uk/en/Publicationsandstatistics/Publications/PublicationsPolicyAndGuidance/DH_091443"/>
  </hyperlinks>
  <printOptions/>
  <pageMargins left="0.75" right="0.75" top="1" bottom="1" header="0.5" footer="0.5"/>
  <pageSetup fitToHeight="1" fitToWidth="1" horizontalDpi="600" verticalDpi="600" orientation="landscape" paperSize="9" r:id="rId4"/>
  <drawing r:id="rId3"/>
</worksheet>
</file>

<file path=xl/worksheets/sheet2.xml><?xml version="1.0" encoding="utf-8"?>
<worksheet xmlns="http://schemas.openxmlformats.org/spreadsheetml/2006/main" xmlns:r="http://schemas.openxmlformats.org/officeDocument/2006/relationships">
  <sheetPr codeName="Sheet4">
    <tabColor indexed="43"/>
    <pageSetUpPr fitToPage="1"/>
  </sheetPr>
  <dimension ref="A1:Y35"/>
  <sheetViews>
    <sheetView showGridLines="0" zoomScalePageLayoutView="0" workbookViewId="0" topLeftCell="A1">
      <selection activeCell="A1" sqref="A1"/>
    </sheetView>
  </sheetViews>
  <sheetFormatPr defaultColWidth="0" defaultRowHeight="12.75" zeroHeight="1"/>
  <cols>
    <col min="1" max="1" width="1.57421875" style="0" customWidth="1"/>
    <col min="2" max="2" width="2.140625" style="0" customWidth="1"/>
    <col min="3" max="3" width="11.57421875" style="0" customWidth="1"/>
    <col min="4" max="8" width="11.28125" style="0" customWidth="1"/>
    <col min="9" max="9" width="10.28125" style="0" customWidth="1"/>
    <col min="10" max="10" width="13.421875" style="0" customWidth="1"/>
    <col min="11" max="11" width="10.421875" style="0" customWidth="1"/>
    <col min="12" max="12" width="14.7109375" style="0" customWidth="1"/>
    <col min="13" max="13" width="10.00390625" style="0" customWidth="1"/>
    <col min="14" max="14" width="12.140625" style="0" customWidth="1"/>
    <col min="15" max="15" width="3.7109375" style="0" customWidth="1"/>
    <col min="16" max="16" width="8.8515625" style="0" hidden="1" customWidth="1"/>
    <col min="17" max="17" width="9.140625" style="0" customWidth="1"/>
    <col min="18" max="18" width="35.7109375" style="0" customWidth="1"/>
    <col min="19" max="19" width="1.28515625" style="0" customWidth="1"/>
    <col min="20" max="16384" width="0" style="0" hidden="1" customWidth="1"/>
  </cols>
  <sheetData>
    <row r="1" spans="2:15" ht="3.75" customHeight="1">
      <c r="B1" s="30"/>
      <c r="C1" s="30"/>
      <c r="D1" s="30"/>
      <c r="E1" s="30"/>
      <c r="F1" s="30"/>
      <c r="G1" s="30"/>
      <c r="H1" s="30"/>
      <c r="I1" s="30"/>
      <c r="J1" s="30"/>
      <c r="K1" s="30"/>
      <c r="L1" s="30"/>
      <c r="M1" s="30"/>
      <c r="N1" s="30"/>
      <c r="O1" s="30"/>
    </row>
    <row r="2" spans="1:15" s="4" customFormat="1" ht="42" customHeight="1">
      <c r="A2"/>
      <c r="B2" s="27"/>
      <c r="C2" s="242" t="s">
        <v>444</v>
      </c>
      <c r="D2" s="243"/>
      <c r="E2" s="243"/>
      <c r="F2" s="243"/>
      <c r="G2" s="243"/>
      <c r="H2" s="243"/>
      <c r="I2" s="243"/>
      <c r="J2" s="243"/>
      <c r="K2" s="243"/>
      <c r="L2" s="243"/>
      <c r="M2" s="243"/>
      <c r="N2" s="243"/>
      <c r="O2" s="31"/>
    </row>
    <row r="3" spans="1:15" s="4" customFormat="1" ht="21.75" customHeight="1">
      <c r="A3"/>
      <c r="B3" s="27"/>
      <c r="C3" s="189"/>
      <c r="D3" s="188"/>
      <c r="E3" s="188"/>
      <c r="F3" s="188"/>
      <c r="G3" s="188"/>
      <c r="H3" s="188"/>
      <c r="I3" s="188"/>
      <c r="J3" s="188"/>
      <c r="K3" s="188"/>
      <c r="L3" s="188"/>
      <c r="M3" s="188"/>
      <c r="N3" s="188"/>
      <c r="O3" s="31"/>
    </row>
    <row r="4" spans="1:25" s="4" customFormat="1" ht="12.75" customHeight="1">
      <c r="A4"/>
      <c r="B4" s="27"/>
      <c r="C4" s="83" t="s">
        <v>454</v>
      </c>
      <c r="D4" s="82"/>
      <c r="O4" s="31"/>
      <c r="U4" s="17" t="s">
        <v>191</v>
      </c>
      <c r="V4" s="17"/>
      <c r="W4" s="17"/>
      <c r="X4" s="17"/>
      <c r="Y4" s="17"/>
    </row>
    <row r="5" spans="1:25" s="4" customFormat="1" ht="6" customHeight="1">
      <c r="A5"/>
      <c r="B5" s="27"/>
      <c r="C5" s="83"/>
      <c r="D5" s="82"/>
      <c r="O5" s="31"/>
      <c r="U5" s="17"/>
      <c r="V5" s="17"/>
      <c r="W5" s="17"/>
      <c r="X5" s="17"/>
      <c r="Y5" s="17"/>
    </row>
    <row r="6" spans="1:25" s="4" customFormat="1" ht="12.75" customHeight="1">
      <c r="A6"/>
      <c r="B6" s="27"/>
      <c r="C6" s="47" t="s">
        <v>455</v>
      </c>
      <c r="D6" s="82"/>
      <c r="O6" s="31"/>
      <c r="U6" s="17"/>
      <c r="V6" s="17"/>
      <c r="W6" s="17"/>
      <c r="X6" s="17"/>
      <c r="Y6" s="17"/>
    </row>
    <row r="7" spans="1:25" s="4" customFormat="1" ht="6.75" customHeight="1" thickBot="1">
      <c r="A7"/>
      <c r="B7" s="27"/>
      <c r="O7" s="31"/>
      <c r="P7" s="34"/>
      <c r="Q7" s="1"/>
      <c r="U7" s="17"/>
      <c r="V7" s="17"/>
      <c r="W7" s="17"/>
      <c r="X7" s="17"/>
      <c r="Y7" s="17"/>
    </row>
    <row r="8" spans="1:25" s="4" customFormat="1" ht="3.75" customHeight="1">
      <c r="A8"/>
      <c r="B8" s="27"/>
      <c r="E8" s="96"/>
      <c r="F8" s="97"/>
      <c r="G8" s="97"/>
      <c r="H8" s="97"/>
      <c r="I8" s="97"/>
      <c r="J8" s="97"/>
      <c r="K8" s="98"/>
      <c r="O8" s="31"/>
      <c r="P8" s="34"/>
      <c r="Q8" s="1"/>
      <c r="U8" s="17"/>
      <c r="V8" s="17"/>
      <c r="W8" s="17"/>
      <c r="X8" s="17"/>
      <c r="Y8" s="17"/>
    </row>
    <row r="9" spans="1:22" s="4" customFormat="1" ht="18.75" customHeight="1">
      <c r="A9"/>
      <c r="B9" s="27"/>
      <c r="C9" s="19" t="s">
        <v>139</v>
      </c>
      <c r="D9" s="95"/>
      <c r="E9" s="244" t="str">
        <f>VLOOKUP(P14,'historical data'!B4:D171,3,FALSE)</f>
        <v>Aintree University Hospitals NHS Foundation Trust</v>
      </c>
      <c r="F9" s="245"/>
      <c r="G9" s="245"/>
      <c r="H9" s="245"/>
      <c r="I9" s="245"/>
      <c r="J9" s="245"/>
      <c r="K9" s="99"/>
      <c r="L9" s="81"/>
      <c r="N9" s="81"/>
      <c r="O9" s="31"/>
      <c r="P9" s="4" t="str">
        <f>VLOOKUP(E9,'historical data'!D4:E171,2,FALSE)</f>
        <v>REM</v>
      </c>
      <c r="R9" s="17"/>
      <c r="S9" s="17"/>
      <c r="T9" s="17"/>
      <c r="U9" s="17"/>
      <c r="V9" s="17"/>
    </row>
    <row r="10" spans="1:22" s="4" customFormat="1" ht="4.5" customHeight="1" thickBot="1">
      <c r="A10"/>
      <c r="B10" s="27"/>
      <c r="C10" s="19"/>
      <c r="D10" s="95"/>
      <c r="E10" s="100"/>
      <c r="F10" s="101"/>
      <c r="G10" s="101"/>
      <c r="H10" s="101"/>
      <c r="I10" s="101"/>
      <c r="J10" s="101"/>
      <c r="K10" s="102"/>
      <c r="L10" s="81"/>
      <c r="N10" s="81"/>
      <c r="O10" s="31"/>
      <c r="R10" s="17"/>
      <c r="S10" s="17"/>
      <c r="T10" s="17"/>
      <c r="U10" s="17"/>
      <c r="V10" s="17"/>
    </row>
    <row r="11" spans="1:22" s="4" customFormat="1" ht="18.75" thickBot="1">
      <c r="A11"/>
      <c r="B11" s="27"/>
      <c r="D11" s="95"/>
      <c r="F11" s="211"/>
      <c r="G11" s="211"/>
      <c r="H11" s="211"/>
      <c r="I11" s="211"/>
      <c r="J11" s="211"/>
      <c r="K11" s="212"/>
      <c r="L11" s="81"/>
      <c r="N11" s="81"/>
      <c r="O11" s="31"/>
      <c r="R11" s="17"/>
      <c r="S11" s="17"/>
      <c r="T11" s="17"/>
      <c r="U11" s="17"/>
      <c r="V11" s="17"/>
    </row>
    <row r="12" spans="2:21" ht="30" customHeight="1" thickBot="1">
      <c r="B12" s="70"/>
      <c r="C12" s="249" t="s">
        <v>456</v>
      </c>
      <c r="D12" s="250"/>
      <c r="E12" s="250"/>
      <c r="F12" s="250"/>
      <c r="G12" s="250"/>
      <c r="H12" s="250"/>
      <c r="I12" s="251">
        <f>VLOOKUP(E9,'historical data'!D4:G171,4,FALSE)</f>
        <v>68.5220736779702</v>
      </c>
      <c r="J12" s="252"/>
      <c r="K12" s="4"/>
      <c r="L12" s="7"/>
      <c r="M12" s="7"/>
      <c r="N12" s="81"/>
      <c r="O12" s="31"/>
      <c r="P12" s="84">
        <f>VLOOKUP(E9,'historical data'!D4:F171,3,FALSE)</f>
        <v>1</v>
      </c>
      <c r="Q12" s="4"/>
      <c r="R12" s="4"/>
      <c r="U12" t="s">
        <v>190</v>
      </c>
    </row>
    <row r="13" spans="2:18" ht="6" customHeight="1">
      <c r="B13" s="27"/>
      <c r="C13" s="247"/>
      <c r="D13" s="247"/>
      <c r="E13" s="247"/>
      <c r="F13" s="247"/>
      <c r="G13" s="247"/>
      <c r="H13" s="20"/>
      <c r="I13" s="20"/>
      <c r="J13" s="20"/>
      <c r="K13" s="20"/>
      <c r="L13" s="81"/>
      <c r="N13" s="81"/>
      <c r="O13" s="78"/>
      <c r="P13" s="21"/>
      <c r="Q13" s="25"/>
      <c r="R13" s="25"/>
    </row>
    <row r="14" spans="2:20" ht="12.75">
      <c r="B14" s="28"/>
      <c r="C14" s="20"/>
      <c r="D14" s="43">
        <v>2003</v>
      </c>
      <c r="E14" s="43">
        <v>2005</v>
      </c>
      <c r="F14" s="44">
        <v>2006</v>
      </c>
      <c r="G14" s="43">
        <v>2007</v>
      </c>
      <c r="H14" s="43">
        <v>2008</v>
      </c>
      <c r="I14" s="43">
        <v>2009</v>
      </c>
      <c r="J14" s="43">
        <v>2010</v>
      </c>
      <c r="K14" s="43">
        <v>2011</v>
      </c>
      <c r="L14" s="43">
        <v>2012</v>
      </c>
      <c r="M14" s="113"/>
      <c r="N14" s="81"/>
      <c r="O14" s="79"/>
      <c r="P14" s="25">
        <v>1</v>
      </c>
      <c r="Q14" s="25"/>
      <c r="T14" t="e">
        <f>VLOOKUP(#REF!,'historical data'!$CO$4:$CT$171,2,FALSE)</f>
        <v>#REF!</v>
      </c>
    </row>
    <row r="15" spans="2:20" ht="12.75">
      <c r="B15" s="28">
        <v>100</v>
      </c>
      <c r="C15" s="42" t="s">
        <v>140</v>
      </c>
      <c r="D15" s="45">
        <f>VLOOKUP(E9,'historical data'!D4:O171,12,FALSE)</f>
        <v>66.13025999999999</v>
      </c>
      <c r="E15" s="45">
        <f>VLOOKUP(E9,'historical data'!D4:O171,11,FALSE)</f>
        <v>68.615566</v>
      </c>
      <c r="F15" s="45">
        <f>VLOOKUP(E9,'historical data'!D4:O171,10,FALSE)</f>
        <v>66.37170599999999</v>
      </c>
      <c r="G15" s="45">
        <f>VLOOKUP(E9,'historical data'!D4:O171,9,FALSE)</f>
        <v>67.028774</v>
      </c>
      <c r="H15" s="45">
        <f>VLOOKUP(E9,'historical data'!D4:O171,8,FALSE)</f>
        <v>66.069084</v>
      </c>
      <c r="I15" s="45">
        <f>VLOOKUP(E9,'historical data'!D4:O171,7,FALSE)</f>
        <v>67.88389117915746</v>
      </c>
      <c r="J15" s="72">
        <f>VLOOKUP($E$9,'historical data'!$D$4:$O$171,6,FALSE)</f>
        <v>65.20244868285964</v>
      </c>
      <c r="K15" s="72">
        <f>VLOOKUP($E$9,'historical data'!$D$4:$O$171,5,FALSE)</f>
        <v>68.88240477543054</v>
      </c>
      <c r="L15" s="46">
        <f>VLOOKUP($E9,'historical data'!$D$4:$G$171,4,FALSE)</f>
        <v>68.5220736779702</v>
      </c>
      <c r="M15" s="113"/>
      <c r="N15" s="81"/>
      <c r="O15" s="79"/>
      <c r="P15" s="20"/>
      <c r="Q15" s="20"/>
      <c r="T15" t="e">
        <f>VLOOKUP(#REF!,'historical data'!$CO$4:$CT$171,3,FALSE)</f>
        <v>#REF!</v>
      </c>
    </row>
    <row r="16" spans="2:21" ht="12.75">
      <c r="B16" s="28">
        <v>50</v>
      </c>
      <c r="C16" s="42" t="s">
        <v>14</v>
      </c>
      <c r="D16" s="61">
        <f>VLOOKUP('SHA cluster table data'!P2,'historical data'!C191:L194,10,FALSE)</f>
        <v>69.21672596000002</v>
      </c>
      <c r="E16" s="61">
        <f>VLOOKUP('SHA cluster table data'!P2,'historical data'!C191:L194,9,FALSE)</f>
        <v>69.583725877551</v>
      </c>
      <c r="F16" s="61">
        <f>VLOOKUP('SHA cluster table data'!P2,'historical data'!C191:L194,8,FALSE)</f>
        <v>68.11684524</v>
      </c>
      <c r="G16" s="61">
        <f>VLOOKUP('SHA cluster table data'!P2,'historical data'!C191:L194,7,FALSE)</f>
        <v>67.17272831999999</v>
      </c>
      <c r="H16" s="61">
        <f>VLOOKUP('SHA cluster table data'!P2,'historical data'!C191:L194,6,FALSE)</f>
        <v>68.42485231999999</v>
      </c>
      <c r="I16" s="59">
        <f>VLOOKUP('SHA cluster table data'!P2,'historical data'!C191:L194,5,FALSE)</f>
        <v>67.52224871059539</v>
      </c>
      <c r="J16" s="59">
        <f>VLOOKUP('SHA cluster table data'!P2,'historical data'!C191:L194,4,FALSE)</f>
        <v>68.25076411189981</v>
      </c>
      <c r="K16" s="59">
        <f>VLOOKUP('SHA cluster table data'!P2,'historical data'!$C$191:$K$195,3,FALSE)</f>
        <v>68.59530471085904</v>
      </c>
      <c r="L16" s="59">
        <f>VLOOKUP('SHA cluster table data'!P2,'historical data'!$C$191:$K$195,2,FALSE)</f>
        <v>69.05735926965043</v>
      </c>
      <c r="M16" s="113"/>
      <c r="N16" s="81"/>
      <c r="O16" s="80"/>
      <c r="P16" s="22"/>
      <c r="Q16" s="20"/>
      <c r="R16" s="20"/>
      <c r="U16" t="e">
        <f>VLOOKUP(#REF!,'historical data'!$CO$4:$CT$171,4,FALSE)</f>
        <v>#REF!</v>
      </c>
    </row>
    <row r="17" spans="2:21" ht="12.75">
      <c r="B17" s="28">
        <v>0</v>
      </c>
      <c r="C17" s="42" t="s">
        <v>141</v>
      </c>
      <c r="D17" s="225">
        <f>'historical data'!O173</f>
        <v>67.39599698765433</v>
      </c>
      <c r="E17" s="225">
        <f>'historical data'!N173</f>
        <v>68.23142816455699</v>
      </c>
      <c r="F17" s="225">
        <f>'historical data'!M173</f>
        <v>67.03382373006131</v>
      </c>
      <c r="G17" s="225">
        <f>'historical data'!L173</f>
        <v>66.0239637300613</v>
      </c>
      <c r="H17" s="225">
        <f>'historical data'!K173</f>
        <v>67.07058939393943</v>
      </c>
      <c r="I17" s="59">
        <f>'historical data'!J173</f>
        <v>66.66561731595783</v>
      </c>
      <c r="J17" s="175">
        <f>'historical data'!I173</f>
        <v>67.3071764625737</v>
      </c>
      <c r="K17" s="59">
        <f>'historical data'!H173</f>
        <v>67.39441798261505</v>
      </c>
      <c r="L17" s="59">
        <f>'historical data'!G173</f>
        <v>68.14077841256244</v>
      </c>
      <c r="M17" s="113"/>
      <c r="N17" s="81"/>
      <c r="O17" s="80"/>
      <c r="P17" s="22"/>
      <c r="Q17" s="20"/>
      <c r="R17" s="20"/>
      <c r="U17" t="e">
        <f>VLOOKUP(#REF!,'historical data'!$CO$4:$CT$171,2,FALSE)</f>
        <v>#REF!</v>
      </c>
    </row>
    <row r="18" spans="2:18" ht="12.75">
      <c r="B18" s="28"/>
      <c r="C18" s="216">
        <f>IF(VLOOKUP(E9,'historical data'!D3:BS171,MATCH('historical data'!BS3,'historical data'!D3:BS3),FALSE)=0,"",VLOOKUP(E9,'historical data'!D3:BS171,MATCH('historical data'!BS3,'historical data'!D3:BS3),FALSE))</f>
      </c>
      <c r="D18" s="214"/>
      <c r="E18" s="214"/>
      <c r="F18" s="214"/>
      <c r="G18" s="214"/>
      <c r="H18" s="214"/>
      <c r="I18" s="214"/>
      <c r="J18" s="214"/>
      <c r="K18" s="20"/>
      <c r="L18" s="81"/>
      <c r="M18" s="113"/>
      <c r="N18" s="81"/>
      <c r="O18" s="39"/>
      <c r="P18" s="20"/>
      <c r="Q18" s="20"/>
      <c r="R18" s="20"/>
    </row>
    <row r="19" spans="2:18" ht="12.75">
      <c r="B19" s="28"/>
      <c r="C19" s="19"/>
      <c r="D19" s="215"/>
      <c r="E19" s="215"/>
      <c r="F19" s="215"/>
      <c r="G19" s="215"/>
      <c r="H19" s="215"/>
      <c r="I19" s="215"/>
      <c r="J19" s="215"/>
      <c r="K19" s="20"/>
      <c r="L19" s="81"/>
      <c r="M19" s="113"/>
      <c r="N19" s="81"/>
      <c r="O19" s="39"/>
      <c r="P19" s="20"/>
      <c r="Q19" s="20"/>
      <c r="R19" s="20"/>
    </row>
    <row r="20" spans="2:18" ht="15.75" customHeight="1">
      <c r="B20" s="28">
        <v>0</v>
      </c>
      <c r="C20" s="47" t="s">
        <v>183</v>
      </c>
      <c r="D20" s="14"/>
      <c r="E20" s="4"/>
      <c r="F20" s="15"/>
      <c r="G20" s="6"/>
      <c r="H20" s="6"/>
      <c r="I20" s="4"/>
      <c r="J20" s="4"/>
      <c r="K20" s="248" t="s">
        <v>8</v>
      </c>
      <c r="M20" s="253" t="s">
        <v>184</v>
      </c>
      <c r="N20" s="253"/>
      <c r="O20" s="80"/>
      <c r="P20" s="38"/>
      <c r="Q20" s="246"/>
      <c r="R20" s="246"/>
    </row>
    <row r="21" spans="2:18" ht="1.5" customHeight="1">
      <c r="B21" s="28"/>
      <c r="C21" s="18"/>
      <c r="H21" s="14"/>
      <c r="K21" s="248"/>
      <c r="L21" s="88"/>
      <c r="M21" s="253"/>
      <c r="N21" s="253"/>
      <c r="O21" s="116"/>
      <c r="P21" s="38"/>
      <c r="Q21" s="20"/>
      <c r="R21" s="20"/>
    </row>
    <row r="22" spans="2:18" ht="17.25" customHeight="1" thickBot="1">
      <c r="B22" s="28"/>
      <c r="C22" s="85" t="s">
        <v>9</v>
      </c>
      <c r="K22" s="16">
        <f>VLOOKUP(E9,'historical data'!D4:AN171,14,FALSE)</f>
        <v>70.9745026515308</v>
      </c>
      <c r="L22" s="254" t="s">
        <v>433</v>
      </c>
      <c r="M22" s="88" t="s">
        <v>198</v>
      </c>
      <c r="N22" s="88"/>
      <c r="O22" s="116"/>
      <c r="P22" s="38"/>
      <c r="Q22" s="20"/>
      <c r="R22" s="20"/>
    </row>
    <row r="23" spans="2:18" ht="17.25" customHeight="1">
      <c r="B23" s="28"/>
      <c r="C23" s="85" t="s">
        <v>10</v>
      </c>
      <c r="K23" s="16">
        <f>VLOOKUP(E9,'historical data'!D4:AN171,15,FALSE)</f>
        <v>60.6369312509218</v>
      </c>
      <c r="L23" s="254"/>
      <c r="M23" s="258">
        <f>IF(ISERROR(AVERAGE(K22:K26)),"-",AVERAGE(K22:K26))</f>
        <v>68.52207367797024</v>
      </c>
      <c r="N23" s="259"/>
      <c r="O23" s="117"/>
      <c r="P23" s="38"/>
      <c r="Q23" s="20"/>
      <c r="R23" s="20"/>
    </row>
    <row r="24" spans="2:18" ht="17.25" customHeight="1" thickBot="1">
      <c r="B24" s="28"/>
      <c r="C24" s="85" t="s">
        <v>11</v>
      </c>
      <c r="K24" s="16">
        <f>VLOOKUP(E9,'historical data'!D4:AN171,16,FALSE)</f>
        <v>82.022191162519</v>
      </c>
      <c r="L24" s="89"/>
      <c r="M24" s="260"/>
      <c r="N24" s="261"/>
      <c r="O24" s="117"/>
      <c r="P24" s="38"/>
      <c r="Q24" s="20"/>
      <c r="R24" s="20"/>
    </row>
    <row r="25" spans="2:18" ht="17.25" customHeight="1">
      <c r="B25" s="28"/>
      <c r="C25" s="85" t="s">
        <v>12</v>
      </c>
      <c r="K25" s="16">
        <f>VLOOKUP(E9,'historical data'!D4:AN171,17,FALSE)</f>
        <v>51.3895044808394</v>
      </c>
      <c r="M25" s="5"/>
      <c r="N25" s="5"/>
      <c r="O25" s="116"/>
      <c r="P25" s="38"/>
      <c r="Q25" s="20"/>
      <c r="R25" s="20"/>
    </row>
    <row r="26" spans="2:18" ht="28.5" customHeight="1">
      <c r="B26" s="28"/>
      <c r="C26" s="256" t="s">
        <v>13</v>
      </c>
      <c r="D26" s="257"/>
      <c r="E26" s="257"/>
      <c r="F26" s="257"/>
      <c r="G26" s="257"/>
      <c r="H26" s="257"/>
      <c r="I26" s="257"/>
      <c r="J26" s="257"/>
      <c r="K26" s="16">
        <f>VLOOKUP(E9,'historical data'!D4:AN171,18,FALSE)</f>
        <v>77.5872388440402</v>
      </c>
      <c r="M26" s="5"/>
      <c r="N26" s="5"/>
      <c r="O26" s="116"/>
      <c r="P26" s="115"/>
      <c r="Q26" s="20"/>
      <c r="R26" s="20"/>
    </row>
    <row r="27" spans="2:18" ht="3" customHeight="1">
      <c r="B27" s="28">
        <v>100</v>
      </c>
      <c r="C27" s="20"/>
      <c r="D27" s="20"/>
      <c r="E27" s="20"/>
      <c r="F27" s="20"/>
      <c r="G27" s="20"/>
      <c r="H27" s="20"/>
      <c r="I27" s="20"/>
      <c r="J27" s="20"/>
      <c r="K27" s="20"/>
      <c r="L27" s="20"/>
      <c r="M27" s="20"/>
      <c r="N27" s="20"/>
      <c r="O27" s="80"/>
      <c r="P27" s="22"/>
      <c r="Q27" s="20"/>
      <c r="R27" s="20"/>
    </row>
    <row r="28" spans="2:18" ht="12.75">
      <c r="B28" s="28">
        <v>50</v>
      </c>
      <c r="C28" s="255" t="s">
        <v>496</v>
      </c>
      <c r="D28" s="255"/>
      <c r="E28" s="255"/>
      <c r="F28" s="255"/>
      <c r="G28" s="255"/>
      <c r="H28" s="255"/>
      <c r="I28" s="255"/>
      <c r="J28" s="255"/>
      <c r="K28" s="255"/>
      <c r="L28" s="255"/>
      <c r="M28" s="255"/>
      <c r="N28" s="255"/>
      <c r="O28" s="80"/>
      <c r="P28" s="22"/>
      <c r="Q28" s="20"/>
      <c r="R28" s="20"/>
    </row>
    <row r="29" spans="2:15" ht="18.75" customHeight="1">
      <c r="B29" s="28"/>
      <c r="C29" s="255"/>
      <c r="D29" s="255"/>
      <c r="E29" s="255"/>
      <c r="F29" s="255"/>
      <c r="G29" s="255"/>
      <c r="H29" s="255"/>
      <c r="I29" s="255"/>
      <c r="J29" s="255"/>
      <c r="K29" s="255"/>
      <c r="L29" s="255"/>
      <c r="M29" s="255"/>
      <c r="N29" s="255"/>
      <c r="O29" s="31"/>
    </row>
    <row r="30" spans="2:15" ht="5.25" customHeight="1">
      <c r="B30" s="29"/>
      <c r="C30" s="30"/>
      <c r="D30" s="30"/>
      <c r="E30" s="30"/>
      <c r="F30" s="30"/>
      <c r="G30" s="30"/>
      <c r="H30" s="30"/>
      <c r="I30" s="30"/>
      <c r="J30" s="30"/>
      <c r="K30" s="30"/>
      <c r="L30" s="30"/>
      <c r="M30" s="30"/>
      <c r="N30" s="30"/>
      <c r="O30" s="32"/>
    </row>
    <row r="31" ht="12.75"/>
    <row r="32" ht="12.75"/>
    <row r="33" ht="12.75"/>
    <row r="34" ht="12.75"/>
    <row r="35" spans="4:11" ht="12.75">
      <c r="D35" s="114"/>
      <c r="E35" s="114"/>
      <c r="F35" s="114"/>
      <c r="G35" s="114"/>
      <c r="H35" s="114"/>
      <c r="I35" s="114"/>
      <c r="J35" s="114"/>
      <c r="K35" s="114"/>
    </row>
    <row r="36" ht="12.75"/>
    <row r="37" ht="12.75"/>
    <row r="38" ht="12.75"/>
    <row r="39" ht="12.75"/>
    <row r="40" ht="12.75"/>
    <row r="41" ht="12.75"/>
    <row r="42" ht="12.75"/>
    <row r="43" ht="12.75"/>
    <row r="44" ht="12.75"/>
    <row r="45" ht="12.75"/>
    <row r="46" ht="12.75"/>
    <row r="47" ht="12.75"/>
    <row r="48" ht="12.75"/>
    <row r="49" ht="12.75"/>
    <row r="50" ht="12.75"/>
    <row r="51" ht="12.75"/>
    <row r="52" ht="12.75"/>
    <row r="53" ht="12.75"/>
  </sheetData>
  <sheetProtection/>
  <mergeCells count="12">
    <mergeCell ref="L22:L23"/>
    <mergeCell ref="C28:N29"/>
    <mergeCell ref="C26:J26"/>
    <mergeCell ref="M23:N24"/>
    <mergeCell ref="C2:N2"/>
    <mergeCell ref="E9:J9"/>
    <mergeCell ref="Q20:R20"/>
    <mergeCell ref="C13:G13"/>
    <mergeCell ref="K20:K21"/>
    <mergeCell ref="C12:H12"/>
    <mergeCell ref="I12:J12"/>
    <mergeCell ref="M20:N21"/>
  </mergeCells>
  <printOptions/>
  <pageMargins left="0.75" right="0.75" top="1" bottom="1" header="0.5" footer="0.5"/>
  <pageSetup fitToHeight="1" fitToWidth="1" horizontalDpi="600" verticalDpi="600" orientation="landscape" paperSize="9" scale="90" r:id="rId3"/>
  <drawing r:id="rId2"/>
  <legacyDrawing r:id="rId1"/>
</worksheet>
</file>

<file path=xl/worksheets/sheet3.xml><?xml version="1.0" encoding="utf-8"?>
<worksheet xmlns="http://schemas.openxmlformats.org/spreadsheetml/2006/main" xmlns:r="http://schemas.openxmlformats.org/officeDocument/2006/relationships">
  <sheetPr codeName="Sheet5">
    <tabColor indexed="43"/>
    <pageSetUpPr fitToPage="1"/>
  </sheetPr>
  <dimension ref="A1:Q33"/>
  <sheetViews>
    <sheetView showGridLines="0" zoomScale="125" zoomScaleNormal="125" workbookViewId="0" topLeftCell="A1">
      <selection activeCell="A1" sqref="A1"/>
    </sheetView>
  </sheetViews>
  <sheetFormatPr defaultColWidth="9.140625" defaultRowHeight="12.75"/>
  <cols>
    <col min="1" max="1" width="1.7109375" style="0" customWidth="1"/>
    <col min="2" max="2" width="2.28125" style="0" customWidth="1"/>
    <col min="16" max="17" width="2.28125" style="0" customWidth="1"/>
  </cols>
  <sheetData>
    <row r="1" spans="1:17" ht="8.25" customHeight="1">
      <c r="A1" s="35"/>
      <c r="B1" s="35"/>
      <c r="C1" s="35"/>
      <c r="D1" s="35"/>
      <c r="E1" s="35"/>
      <c r="F1" s="35"/>
      <c r="G1" s="35"/>
      <c r="H1" s="35"/>
      <c r="I1" s="35"/>
      <c r="J1" s="35"/>
      <c r="K1" s="35"/>
      <c r="L1" s="35"/>
      <c r="M1" s="35"/>
      <c r="N1" s="35"/>
      <c r="O1" s="35"/>
      <c r="P1" s="35"/>
      <c r="Q1" s="35"/>
    </row>
    <row r="2" spans="1:17" ht="7.5" customHeight="1">
      <c r="A2" s="35"/>
      <c r="B2" s="36"/>
      <c r="C2" s="37"/>
      <c r="D2" s="37"/>
      <c r="E2" s="37"/>
      <c r="F2" s="37"/>
      <c r="G2" s="37"/>
      <c r="H2" s="37"/>
      <c r="I2" s="37"/>
      <c r="J2" s="37"/>
      <c r="K2" s="37"/>
      <c r="L2" s="37"/>
      <c r="M2" s="37"/>
      <c r="N2" s="37"/>
      <c r="O2" s="37"/>
      <c r="P2" s="37"/>
      <c r="Q2" s="38"/>
    </row>
    <row r="3" spans="1:17" ht="39.75" customHeight="1">
      <c r="A3" s="35"/>
      <c r="B3" s="38"/>
      <c r="C3" s="263" t="s">
        <v>444</v>
      </c>
      <c r="D3" s="264"/>
      <c r="E3" s="264"/>
      <c r="F3" s="264"/>
      <c r="G3" s="264"/>
      <c r="H3" s="264"/>
      <c r="I3" s="264"/>
      <c r="J3" s="264"/>
      <c r="K3" s="264"/>
      <c r="L3" s="264"/>
      <c r="M3" s="264"/>
      <c r="N3" s="264"/>
      <c r="O3" s="264"/>
      <c r="P3" s="20"/>
      <c r="Q3" s="38"/>
    </row>
    <row r="4" spans="1:17" ht="7.5" customHeight="1">
      <c r="A4" s="35"/>
      <c r="B4" s="38"/>
      <c r="C4" s="20"/>
      <c r="D4" s="20"/>
      <c r="E4" s="20"/>
      <c r="F4" s="20"/>
      <c r="G4" s="20"/>
      <c r="H4" s="20"/>
      <c r="I4" s="20"/>
      <c r="J4" s="20"/>
      <c r="K4" s="20"/>
      <c r="L4" s="20"/>
      <c r="M4" s="20"/>
      <c r="N4" s="20"/>
      <c r="O4" s="20"/>
      <c r="P4" s="20"/>
      <c r="Q4" s="38"/>
    </row>
    <row r="5" spans="1:17" ht="15.75">
      <c r="A5" s="35"/>
      <c r="B5" s="38"/>
      <c r="C5" s="90" t="s">
        <v>454</v>
      </c>
      <c r="D5" s="20"/>
      <c r="E5" s="20"/>
      <c r="F5" s="20"/>
      <c r="G5" s="20"/>
      <c r="H5" s="20"/>
      <c r="I5" s="20"/>
      <c r="J5" s="20"/>
      <c r="K5" s="20"/>
      <c r="L5" s="20"/>
      <c r="M5" s="20"/>
      <c r="N5" s="20"/>
      <c r="O5" s="20"/>
      <c r="P5" s="20"/>
      <c r="Q5" s="38"/>
    </row>
    <row r="6" spans="1:17" ht="4.5" customHeight="1">
      <c r="A6" s="35"/>
      <c r="B6" s="38"/>
      <c r="C6" s="90"/>
      <c r="D6" s="20"/>
      <c r="E6" s="20"/>
      <c r="F6" s="20"/>
      <c r="G6" s="20"/>
      <c r="H6" s="20"/>
      <c r="I6" s="20"/>
      <c r="J6" s="20"/>
      <c r="K6" s="20"/>
      <c r="L6" s="20"/>
      <c r="M6" s="20"/>
      <c r="N6" s="20"/>
      <c r="O6" s="20"/>
      <c r="P6" s="20"/>
      <c r="Q6" s="38"/>
    </row>
    <row r="7" spans="1:17" ht="12.75">
      <c r="A7" s="35"/>
      <c r="B7" s="38"/>
      <c r="C7" s="20" t="str">
        <f>'Your 2012 score'!E9</f>
        <v>Aintree University Hospitals NHS Foundation Trust</v>
      </c>
      <c r="D7" s="20"/>
      <c r="E7" s="20"/>
      <c r="F7" s="20"/>
      <c r="G7" s="20"/>
      <c r="H7" s="20"/>
      <c r="I7" s="20"/>
      <c r="J7" s="20"/>
      <c r="K7" s="20"/>
      <c r="L7" s="20"/>
      <c r="M7" s="20"/>
      <c r="N7" s="20"/>
      <c r="O7" s="20"/>
      <c r="P7" s="20"/>
      <c r="Q7" s="38"/>
    </row>
    <row r="8" spans="1:17" ht="12.75">
      <c r="A8" s="35"/>
      <c r="B8" s="38"/>
      <c r="C8" s="217">
        <f>IF(VLOOKUP('Your 2012 score'!E9,'historical data'!D3:BS171,MATCH('historical data'!BS3,'historical data'!D3:BS3),FALSE)=0,"",VLOOKUP('Your 2012 score'!E9,'historical data'!D3:BS171,MATCH('historical data'!BS3,'historical data'!D3:BS3),FALSE))</f>
      </c>
      <c r="D8" s="20"/>
      <c r="E8" s="20"/>
      <c r="F8" s="20"/>
      <c r="G8" s="20"/>
      <c r="H8" s="20"/>
      <c r="I8" s="20"/>
      <c r="J8" s="20"/>
      <c r="K8" s="20"/>
      <c r="L8" s="20"/>
      <c r="M8" s="20"/>
      <c r="N8" s="20"/>
      <c r="O8" s="20"/>
      <c r="P8" s="20"/>
      <c r="Q8" s="38"/>
    </row>
    <row r="9" spans="1:17" ht="12.75">
      <c r="A9" s="35"/>
      <c r="B9" s="38"/>
      <c r="C9" s="20"/>
      <c r="D9" s="20"/>
      <c r="E9" s="20"/>
      <c r="F9" s="20"/>
      <c r="G9" s="20"/>
      <c r="H9" s="20"/>
      <c r="I9" s="20"/>
      <c r="J9" s="20"/>
      <c r="K9" s="20"/>
      <c r="L9" s="20"/>
      <c r="M9" s="20"/>
      <c r="N9" s="20"/>
      <c r="O9" s="20"/>
      <c r="P9" s="20"/>
      <c r="Q9" s="38"/>
    </row>
    <row r="10" spans="1:17" ht="12.75">
      <c r="A10" s="35"/>
      <c r="B10" s="38"/>
      <c r="C10" s="20"/>
      <c r="D10" s="20"/>
      <c r="E10" s="20"/>
      <c r="F10" s="20"/>
      <c r="G10" s="20"/>
      <c r="H10" s="20"/>
      <c r="I10" s="20"/>
      <c r="J10" s="20"/>
      <c r="K10" s="20"/>
      <c r="L10" s="20"/>
      <c r="M10" s="20"/>
      <c r="N10" s="20"/>
      <c r="O10" s="20"/>
      <c r="P10" s="20"/>
      <c r="Q10" s="38"/>
    </row>
    <row r="11" spans="1:17" ht="12.75">
      <c r="A11" s="35"/>
      <c r="B11" s="38"/>
      <c r="C11" s="20"/>
      <c r="D11" s="20"/>
      <c r="E11" s="20"/>
      <c r="F11" s="20"/>
      <c r="G11" s="20"/>
      <c r="H11" s="20"/>
      <c r="I11" s="20"/>
      <c r="J11" s="20"/>
      <c r="K11" s="20"/>
      <c r="L11" s="20"/>
      <c r="M11" s="20"/>
      <c r="N11" s="20"/>
      <c r="O11" s="20"/>
      <c r="P11" s="20"/>
      <c r="Q11" s="38"/>
    </row>
    <row r="12" spans="1:17" ht="12.75">
      <c r="A12" s="35"/>
      <c r="B12" s="38"/>
      <c r="C12" s="20"/>
      <c r="D12" s="20"/>
      <c r="E12" s="20"/>
      <c r="F12" s="20"/>
      <c r="G12" s="20"/>
      <c r="H12" s="20"/>
      <c r="I12" s="20"/>
      <c r="J12" s="20"/>
      <c r="K12" s="20"/>
      <c r="L12" s="20"/>
      <c r="M12" s="20"/>
      <c r="N12" s="20"/>
      <c r="O12" s="20"/>
      <c r="P12" s="20"/>
      <c r="Q12" s="38"/>
    </row>
    <row r="13" spans="1:17" ht="12.75">
      <c r="A13" s="35"/>
      <c r="B13" s="38"/>
      <c r="C13" s="20"/>
      <c r="D13" s="20"/>
      <c r="E13" s="20"/>
      <c r="F13" s="20"/>
      <c r="G13" s="20"/>
      <c r="H13" s="20"/>
      <c r="I13" s="20"/>
      <c r="J13" s="20"/>
      <c r="K13" s="20"/>
      <c r="L13" s="20"/>
      <c r="M13" s="20"/>
      <c r="N13" s="20"/>
      <c r="O13" s="20"/>
      <c r="P13" s="20"/>
      <c r="Q13" s="38"/>
    </row>
    <row r="14" spans="1:17" ht="12.75">
      <c r="A14" s="35"/>
      <c r="B14" s="38"/>
      <c r="C14" s="20"/>
      <c r="D14" s="20"/>
      <c r="E14" s="20"/>
      <c r="F14" s="20"/>
      <c r="G14" s="20"/>
      <c r="H14" s="20"/>
      <c r="I14" s="20"/>
      <c r="J14" s="20"/>
      <c r="K14" s="20"/>
      <c r="L14" s="20"/>
      <c r="M14" s="20"/>
      <c r="N14" s="20"/>
      <c r="O14" s="20"/>
      <c r="P14" s="20"/>
      <c r="Q14" s="38"/>
    </row>
    <row r="15" spans="1:17" ht="12.75">
      <c r="A15" s="35"/>
      <c r="B15" s="38"/>
      <c r="C15" s="20"/>
      <c r="D15" s="20"/>
      <c r="E15" s="20"/>
      <c r="F15" s="20"/>
      <c r="G15" s="20"/>
      <c r="H15" s="20"/>
      <c r="I15" s="20"/>
      <c r="J15" s="20"/>
      <c r="K15" s="20"/>
      <c r="L15" s="20"/>
      <c r="M15" s="20"/>
      <c r="N15" s="20"/>
      <c r="O15" s="20"/>
      <c r="P15" s="20"/>
      <c r="Q15" s="38"/>
    </row>
    <row r="16" spans="1:17" ht="12.75">
      <c r="A16" s="35"/>
      <c r="B16" s="38"/>
      <c r="C16" s="20"/>
      <c r="D16" s="20"/>
      <c r="E16" s="20"/>
      <c r="F16" s="20"/>
      <c r="G16" s="20"/>
      <c r="H16" s="20"/>
      <c r="I16" s="20"/>
      <c r="J16" s="20"/>
      <c r="K16" s="20"/>
      <c r="L16" s="20"/>
      <c r="M16" s="20"/>
      <c r="N16" s="20"/>
      <c r="O16" s="20"/>
      <c r="P16" s="20"/>
      <c r="Q16" s="38"/>
    </row>
    <row r="17" spans="1:17" ht="12.75">
      <c r="A17" s="35"/>
      <c r="B17" s="38"/>
      <c r="C17" s="20"/>
      <c r="D17" s="20"/>
      <c r="E17" s="20"/>
      <c r="F17" s="20"/>
      <c r="G17" s="20"/>
      <c r="H17" s="20"/>
      <c r="I17" s="20"/>
      <c r="J17" s="20"/>
      <c r="K17" s="20"/>
      <c r="L17" s="20"/>
      <c r="M17" s="20"/>
      <c r="N17" s="20"/>
      <c r="O17" s="20"/>
      <c r="P17" s="20"/>
      <c r="Q17" s="38"/>
    </row>
    <row r="18" spans="1:17" ht="12.75">
      <c r="A18" s="35"/>
      <c r="B18" s="38"/>
      <c r="C18" s="20"/>
      <c r="D18" s="20"/>
      <c r="E18" s="20"/>
      <c r="F18" s="20"/>
      <c r="G18" s="20"/>
      <c r="H18" s="20"/>
      <c r="I18" s="20"/>
      <c r="J18" s="20"/>
      <c r="K18" s="20"/>
      <c r="L18" s="20"/>
      <c r="M18" s="20"/>
      <c r="N18" s="20"/>
      <c r="O18" s="20"/>
      <c r="P18" s="20"/>
      <c r="Q18" s="38"/>
    </row>
    <row r="19" spans="1:17" ht="12.75">
      <c r="A19" s="35"/>
      <c r="B19" s="38"/>
      <c r="C19" s="20"/>
      <c r="D19" s="20"/>
      <c r="E19" s="20"/>
      <c r="F19" s="20"/>
      <c r="G19" s="20"/>
      <c r="H19" s="20"/>
      <c r="I19" s="20"/>
      <c r="J19" s="20"/>
      <c r="K19" s="20"/>
      <c r="L19" s="20"/>
      <c r="M19" s="20"/>
      <c r="N19" s="20"/>
      <c r="O19" s="20"/>
      <c r="P19" s="20"/>
      <c r="Q19" s="38"/>
    </row>
    <row r="20" spans="1:17" ht="12.75">
      <c r="A20" s="35"/>
      <c r="B20" s="38"/>
      <c r="C20" s="20"/>
      <c r="D20" s="20"/>
      <c r="E20" s="20"/>
      <c r="F20" s="20"/>
      <c r="G20" s="20"/>
      <c r="H20" s="20"/>
      <c r="I20" s="20"/>
      <c r="J20" s="20"/>
      <c r="K20" s="20"/>
      <c r="L20" s="20"/>
      <c r="M20" s="20"/>
      <c r="N20" s="20"/>
      <c r="O20" s="20"/>
      <c r="P20" s="20"/>
      <c r="Q20" s="38"/>
    </row>
    <row r="21" spans="1:17" ht="12.75">
      <c r="A21" s="35"/>
      <c r="B21" s="38"/>
      <c r="C21" s="20"/>
      <c r="D21" s="20"/>
      <c r="E21" s="20"/>
      <c r="F21" s="20"/>
      <c r="G21" s="20"/>
      <c r="H21" s="20"/>
      <c r="I21" s="20"/>
      <c r="J21" s="20"/>
      <c r="K21" s="20"/>
      <c r="L21" s="20"/>
      <c r="M21" s="20"/>
      <c r="N21" s="20"/>
      <c r="O21" s="20"/>
      <c r="P21" s="20"/>
      <c r="Q21" s="38"/>
    </row>
    <row r="22" spans="1:17" ht="12.75">
      <c r="A22" s="35"/>
      <c r="B22" s="38"/>
      <c r="C22" s="20"/>
      <c r="D22" s="20"/>
      <c r="E22" s="20"/>
      <c r="F22" s="20"/>
      <c r="G22" s="20"/>
      <c r="H22" s="20"/>
      <c r="I22" s="20"/>
      <c r="J22" s="20"/>
      <c r="K22" s="20"/>
      <c r="L22" s="20"/>
      <c r="M22" s="20"/>
      <c r="N22" s="20"/>
      <c r="O22" s="20"/>
      <c r="P22" s="20"/>
      <c r="Q22" s="38"/>
    </row>
    <row r="23" spans="1:17" ht="12.75">
      <c r="A23" s="35"/>
      <c r="B23" s="38"/>
      <c r="C23" s="20"/>
      <c r="D23" s="20"/>
      <c r="E23" s="20"/>
      <c r="F23" s="20"/>
      <c r="G23" s="20"/>
      <c r="H23" s="20"/>
      <c r="I23" s="20"/>
      <c r="J23" s="20"/>
      <c r="K23" s="20"/>
      <c r="L23" s="20"/>
      <c r="M23" s="20"/>
      <c r="N23" s="20"/>
      <c r="O23" s="20"/>
      <c r="P23" s="20"/>
      <c r="Q23" s="38"/>
    </row>
    <row r="24" spans="1:17" ht="12.75">
      <c r="A24" s="35"/>
      <c r="B24" s="38"/>
      <c r="C24" s="20"/>
      <c r="D24" s="20"/>
      <c r="E24" s="20"/>
      <c r="F24" s="20"/>
      <c r="G24" s="20"/>
      <c r="H24" s="20"/>
      <c r="I24" s="20"/>
      <c r="J24" s="20"/>
      <c r="K24" s="20"/>
      <c r="L24" s="20"/>
      <c r="M24" s="20"/>
      <c r="N24" s="20"/>
      <c r="O24" s="20"/>
      <c r="P24" s="20"/>
      <c r="Q24" s="38"/>
    </row>
    <row r="25" spans="1:17" ht="12.75" customHeight="1">
      <c r="A25" s="35"/>
      <c r="B25" s="38"/>
      <c r="C25" s="20"/>
      <c r="D25" s="20"/>
      <c r="E25" s="20"/>
      <c r="F25" s="20"/>
      <c r="G25" s="20"/>
      <c r="H25" s="20"/>
      <c r="I25" s="20"/>
      <c r="J25" s="20"/>
      <c r="K25" s="20"/>
      <c r="L25" s="20"/>
      <c r="M25" s="20"/>
      <c r="N25" s="20"/>
      <c r="O25" s="20"/>
      <c r="P25" s="20"/>
      <c r="Q25" s="38"/>
    </row>
    <row r="26" spans="1:17" ht="5.25" customHeight="1">
      <c r="A26" s="35"/>
      <c r="B26" s="38"/>
      <c r="C26" s="255" t="s">
        <v>457</v>
      </c>
      <c r="D26" s="262"/>
      <c r="E26" s="262"/>
      <c r="F26" s="262"/>
      <c r="G26" s="262"/>
      <c r="H26" s="262"/>
      <c r="I26" s="262"/>
      <c r="J26" s="262"/>
      <c r="K26" s="262"/>
      <c r="L26" s="262"/>
      <c r="M26" s="262"/>
      <c r="N26" s="262"/>
      <c r="O26" s="262"/>
      <c r="P26" s="218"/>
      <c r="Q26" s="118"/>
    </row>
    <row r="27" spans="1:17" ht="9.75" customHeight="1">
      <c r="A27" s="35"/>
      <c r="B27" s="38"/>
      <c r="C27" s="262"/>
      <c r="D27" s="262"/>
      <c r="E27" s="262"/>
      <c r="F27" s="262"/>
      <c r="G27" s="262"/>
      <c r="H27" s="262"/>
      <c r="I27" s="262"/>
      <c r="J27" s="262"/>
      <c r="K27" s="262"/>
      <c r="L27" s="262"/>
      <c r="M27" s="262"/>
      <c r="N27" s="262"/>
      <c r="O27" s="262"/>
      <c r="P27" s="218"/>
      <c r="Q27" s="118"/>
    </row>
    <row r="28" spans="1:17" ht="14.25" customHeight="1">
      <c r="A28" s="35"/>
      <c r="B28" s="38"/>
      <c r="C28" s="262"/>
      <c r="D28" s="262"/>
      <c r="E28" s="262"/>
      <c r="F28" s="262"/>
      <c r="G28" s="262"/>
      <c r="H28" s="262"/>
      <c r="I28" s="262"/>
      <c r="J28" s="262"/>
      <c r="K28" s="262"/>
      <c r="L28" s="262"/>
      <c r="M28" s="262"/>
      <c r="N28" s="262"/>
      <c r="O28" s="262"/>
      <c r="P28" s="218"/>
      <c r="Q28" s="118"/>
    </row>
    <row r="29" spans="1:17" ht="12.75" customHeight="1">
      <c r="A29" s="35"/>
      <c r="B29" s="38"/>
      <c r="C29" s="262"/>
      <c r="D29" s="262"/>
      <c r="E29" s="262"/>
      <c r="F29" s="262"/>
      <c r="G29" s="262"/>
      <c r="H29" s="262"/>
      <c r="I29" s="262"/>
      <c r="J29" s="262"/>
      <c r="K29" s="262"/>
      <c r="L29" s="262"/>
      <c r="M29" s="262"/>
      <c r="N29" s="262"/>
      <c r="O29" s="262"/>
      <c r="P29" s="218"/>
      <c r="Q29" s="118"/>
    </row>
    <row r="30" spans="1:17" ht="12.75">
      <c r="A30" s="35"/>
      <c r="B30" s="38"/>
      <c r="C30" s="94"/>
      <c r="D30" s="94"/>
      <c r="E30" s="94"/>
      <c r="F30" s="94"/>
      <c r="G30" s="94"/>
      <c r="H30" s="94"/>
      <c r="I30" s="94"/>
      <c r="J30" s="94"/>
      <c r="K30" s="94"/>
      <c r="L30" s="94"/>
      <c r="M30" s="94"/>
      <c r="N30" s="94"/>
      <c r="O30" s="94"/>
      <c r="P30" s="94"/>
      <c r="Q30" s="119"/>
    </row>
    <row r="31" spans="1:17" ht="12.75">
      <c r="A31" s="35"/>
      <c r="B31" s="38"/>
      <c r="C31" s="94"/>
      <c r="D31" s="94"/>
      <c r="E31" s="94"/>
      <c r="F31" s="94"/>
      <c r="G31" s="94"/>
      <c r="H31" s="94"/>
      <c r="I31" s="94"/>
      <c r="J31" s="94"/>
      <c r="K31" s="94"/>
      <c r="L31" s="94"/>
      <c r="M31" s="94"/>
      <c r="N31" s="94"/>
      <c r="O31" s="94"/>
      <c r="P31" s="94"/>
      <c r="Q31" s="119"/>
    </row>
    <row r="32" spans="1:17" ht="8.25" customHeight="1">
      <c r="A32" s="35"/>
      <c r="B32" s="40"/>
      <c r="C32" s="33"/>
      <c r="D32" s="33"/>
      <c r="E32" s="33"/>
      <c r="F32" s="33"/>
      <c r="G32" s="33"/>
      <c r="H32" s="33"/>
      <c r="I32" s="33"/>
      <c r="J32" s="33"/>
      <c r="K32" s="33"/>
      <c r="L32" s="33"/>
      <c r="M32" s="33"/>
      <c r="N32" s="33"/>
      <c r="O32" s="33"/>
      <c r="P32" s="33"/>
      <c r="Q32" s="38"/>
    </row>
    <row r="33" spans="1:17" ht="12.75">
      <c r="A33" s="35"/>
      <c r="B33" s="35"/>
      <c r="C33" s="35"/>
      <c r="D33" s="35"/>
      <c r="E33" s="35"/>
      <c r="F33" s="35"/>
      <c r="G33" s="35"/>
      <c r="H33" s="35"/>
      <c r="I33" s="35"/>
      <c r="J33" s="35"/>
      <c r="K33" s="35"/>
      <c r="L33" s="35"/>
      <c r="M33" s="35"/>
      <c r="N33" s="35"/>
      <c r="O33" s="35"/>
      <c r="P33" s="35"/>
      <c r="Q33" s="35"/>
    </row>
  </sheetData>
  <sheetProtection/>
  <mergeCells count="2">
    <mergeCell ref="C26:O29"/>
    <mergeCell ref="C3:O3"/>
  </mergeCells>
  <printOptions/>
  <pageMargins left="0.75" right="0.75" top="1" bottom="1" header="0.5" footer="0.5"/>
  <pageSetup fitToHeight="1" fitToWidth="1"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sheetPr codeName="Sheet12"/>
  <dimension ref="A1:AD187"/>
  <sheetViews>
    <sheetView zoomScale="75" zoomScaleNormal="75" zoomScalePageLayoutView="0" workbookViewId="0" topLeftCell="D1">
      <selection activeCell="AB35" sqref="AB35"/>
    </sheetView>
  </sheetViews>
  <sheetFormatPr defaultColWidth="9.140625" defaultRowHeight="12.75"/>
  <cols>
    <col min="2" max="2" width="12.28125" style="0" customWidth="1"/>
    <col min="4" max="4" width="16.00390625" style="0" customWidth="1"/>
    <col min="5" max="5" width="12.140625" style="26" customWidth="1"/>
    <col min="6" max="6" width="13.57421875" style="0" customWidth="1"/>
    <col min="7" max="7" width="7.57421875" style="26" customWidth="1"/>
    <col min="8" max="9" width="15.8515625" style="0" customWidth="1"/>
    <col min="10" max="10" width="15.57421875" style="0" customWidth="1"/>
    <col min="11" max="11" width="15.7109375" style="0" customWidth="1"/>
    <col min="12" max="12" width="12.421875" style="0" customWidth="1"/>
    <col min="13" max="13" width="12.00390625" style="0" customWidth="1"/>
    <col min="14" max="14" width="13.8515625" style="0" customWidth="1"/>
    <col min="15" max="15" width="11.7109375" style="0" customWidth="1"/>
    <col min="16" max="19" width="12.57421875" style="0" customWidth="1"/>
    <col min="20" max="20" width="15.57421875" style="0" bestFit="1" customWidth="1"/>
    <col min="21" max="21" width="17.57421875" style="0" customWidth="1"/>
    <col min="22" max="23" width="7.421875" style="0" customWidth="1"/>
    <col min="26" max="26" width="11.421875" style="0" bestFit="1" customWidth="1"/>
    <col min="27" max="27" width="12.140625" style="0" bestFit="1" customWidth="1"/>
  </cols>
  <sheetData>
    <row r="1" spans="2:30" ht="12.75">
      <c r="B1" s="206" t="s">
        <v>478</v>
      </c>
      <c r="C1" s="35"/>
      <c r="D1" s="35"/>
      <c r="E1" s="58"/>
      <c r="F1" s="35"/>
      <c r="G1" s="58"/>
      <c r="H1" s="35"/>
      <c r="I1" s="35"/>
      <c r="J1" s="35"/>
      <c r="K1" s="3" t="s">
        <v>177</v>
      </c>
      <c r="L1" s="3" t="s">
        <v>178</v>
      </c>
      <c r="M1" s="3" t="s">
        <v>179</v>
      </c>
      <c r="N1" s="3" t="s">
        <v>472</v>
      </c>
      <c r="O1" s="3" t="s">
        <v>463</v>
      </c>
      <c r="P1" s="31" t="s">
        <v>477</v>
      </c>
      <c r="Q1" s="190"/>
      <c r="R1" s="193" t="s">
        <v>460</v>
      </c>
      <c r="X1" s="193" t="s">
        <v>461</v>
      </c>
      <c r="AA1" s="193"/>
      <c r="AB1" s="193"/>
      <c r="AC1" s="193"/>
      <c r="AD1" s="193"/>
    </row>
    <row r="2" spans="2:28" ht="12.75">
      <c r="B2" s="206" t="s">
        <v>479</v>
      </c>
      <c r="C2" s="35"/>
      <c r="D2" s="35"/>
      <c r="E2" s="58"/>
      <c r="F2" s="35"/>
      <c r="G2" s="58"/>
      <c r="H2" s="35"/>
      <c r="I2" s="35"/>
      <c r="J2" s="35"/>
      <c r="K2" s="49" t="str">
        <f>VLOOKUP('Your 2012 score'!E9,'historical data'!D4:E171,2,FALSE)</f>
        <v>REM</v>
      </c>
      <c r="L2" s="49" t="str">
        <f>VLOOKUP(K2,B4:E171,4,FALSE)</f>
        <v>AC3</v>
      </c>
      <c r="M2" s="49">
        <f>VLOOKUP(K2,'SHA cluster table data'!B4:C171,2,FALSE)</f>
        <v>1</v>
      </c>
      <c r="N2" s="3" t="str">
        <f>VLOOKUP(K2,$B$4:$I$171,8,FALSE)</f>
        <v>SHAC1</v>
      </c>
      <c r="O2" s="3">
        <f>VLOOKUP(N2,N5:O9,2,FALSE)</f>
        <v>48</v>
      </c>
      <c r="P2" s="4" t="str">
        <f>VLOOKUP(K2,B4:G171,6,FALSE)</f>
        <v>Q31</v>
      </c>
      <c r="U2" s="193"/>
      <c r="V2" s="193"/>
      <c r="W2" s="193"/>
      <c r="X2" s="193" t="s">
        <v>462</v>
      </c>
      <c r="Y2" s="193"/>
      <c r="Z2" s="193"/>
      <c r="AA2" s="193"/>
      <c r="AB2" s="193"/>
    </row>
    <row r="3" spans="1:28" s="53" customFormat="1" ht="18" customHeight="1">
      <c r="A3" s="53" t="s">
        <v>138</v>
      </c>
      <c r="B3" s="69" t="s">
        <v>383</v>
      </c>
      <c r="C3" s="69" t="s">
        <v>163</v>
      </c>
      <c r="D3" s="73" t="s">
        <v>384</v>
      </c>
      <c r="E3" s="69" t="s">
        <v>385</v>
      </c>
      <c r="F3" s="73" t="s">
        <v>386</v>
      </c>
      <c r="G3" s="69" t="s">
        <v>464</v>
      </c>
      <c r="H3" s="73" t="s">
        <v>387</v>
      </c>
      <c r="I3" s="73" t="s">
        <v>14</v>
      </c>
      <c r="J3" s="198" t="s">
        <v>469</v>
      </c>
      <c r="K3" s="198" t="s">
        <v>470</v>
      </c>
      <c r="L3" s="198" t="s">
        <v>471</v>
      </c>
      <c r="N3" s="204"/>
      <c r="O3" s="19"/>
      <c r="P3" s="19"/>
      <c r="R3" s="192" t="s">
        <v>458</v>
      </c>
      <c r="S3" s="54"/>
      <c r="U3" s="54"/>
      <c r="V3" s="55"/>
      <c r="X3" s="56" t="s">
        <v>459</v>
      </c>
      <c r="Y3" s="55"/>
      <c r="Z3" s="55"/>
      <c r="AA3" s="55"/>
      <c r="AB3" s="55"/>
    </row>
    <row r="4" spans="1:28" ht="12.75">
      <c r="A4" s="26">
        <v>1</v>
      </c>
      <c r="B4" s="50" t="s">
        <v>73</v>
      </c>
      <c r="C4" s="50">
        <f>IF(ISBLANK(A4),"",A4)</f>
        <v>1</v>
      </c>
      <c r="D4" s="23" t="s">
        <v>427</v>
      </c>
      <c r="E4" s="50" t="s">
        <v>164</v>
      </c>
      <c r="F4" s="3" t="s">
        <v>165</v>
      </c>
      <c r="G4" s="24" t="s">
        <v>412</v>
      </c>
      <c r="H4" s="3" t="s">
        <v>417</v>
      </c>
      <c r="I4" s="3" t="s">
        <v>465</v>
      </c>
      <c r="J4" s="3">
        <f>IF(B4=$K$2,0,IF(I4=$N$2,1,0))</f>
        <v>0</v>
      </c>
      <c r="K4" s="3">
        <f>IF(J4=1,1,0)</f>
        <v>0</v>
      </c>
      <c r="L4" s="3">
        <f aca="true" t="shared" si="0" ref="L4:L35">IF(K4=0,0,C4)</f>
        <v>0</v>
      </c>
      <c r="M4" s="164" t="s">
        <v>14</v>
      </c>
      <c r="O4" s="164" t="s">
        <v>476</v>
      </c>
      <c r="P4" s="205" t="s">
        <v>475</v>
      </c>
      <c r="Q4" s="4"/>
      <c r="R4" s="48" t="s">
        <v>188</v>
      </c>
      <c r="S4" s="48" t="s">
        <v>163</v>
      </c>
      <c r="T4" s="48" t="s">
        <v>186</v>
      </c>
      <c r="U4" s="48" t="s">
        <v>187</v>
      </c>
      <c r="V4" s="51" t="s">
        <v>156</v>
      </c>
      <c r="X4" s="48" t="s">
        <v>187</v>
      </c>
      <c r="Y4" s="51" t="s">
        <v>189</v>
      </c>
      <c r="Z4" s="51" t="s">
        <v>155</v>
      </c>
      <c r="AA4" s="51" t="s">
        <v>154</v>
      </c>
      <c r="AB4" s="51" t="s">
        <v>180</v>
      </c>
    </row>
    <row r="5" spans="1:28" ht="12.75">
      <c r="A5" s="26">
        <v>2</v>
      </c>
      <c r="B5" s="50" t="s">
        <v>74</v>
      </c>
      <c r="C5" s="50">
        <f aca="true" t="shared" si="1" ref="C5:C66">IF(ISBLANK(A5),"",A5)</f>
        <v>2</v>
      </c>
      <c r="D5" s="23" t="s">
        <v>119</v>
      </c>
      <c r="E5" s="50" t="s">
        <v>166</v>
      </c>
      <c r="F5" s="3" t="s">
        <v>167</v>
      </c>
      <c r="G5" s="24" t="s">
        <v>412</v>
      </c>
      <c r="H5" s="3" t="s">
        <v>418</v>
      </c>
      <c r="I5" s="3" t="s">
        <v>465</v>
      </c>
      <c r="J5" s="3">
        <f>IF($K$2=B5,J4,IF($N$2=I5,J4+1,J4))</f>
        <v>1</v>
      </c>
      <c r="K5" s="3">
        <f>IF(J5=J4,0,J5)</f>
        <v>1</v>
      </c>
      <c r="L5" s="3">
        <f t="shared" si="0"/>
        <v>2</v>
      </c>
      <c r="M5" s="202" t="s">
        <v>412</v>
      </c>
      <c r="N5" s="200" t="s">
        <v>465</v>
      </c>
      <c r="O5" s="201">
        <f>'historical data'!O184</f>
        <v>48</v>
      </c>
      <c r="P5" s="205">
        <f>COUNTIF($I$4:$I$159,N5)</f>
        <v>48</v>
      </c>
      <c r="Q5" s="4"/>
      <c r="R5" s="24">
        <f>IF(ISERROR(RANK(V5,$V$5:$V$56,1)),"-",RANK(V5,$V$5:$V$56,1))</f>
        <v>33</v>
      </c>
      <c r="S5" s="24">
        <v>-1</v>
      </c>
      <c r="T5" s="24" t="s">
        <v>181</v>
      </c>
      <c r="U5" s="24" t="s">
        <v>182</v>
      </c>
      <c r="V5" s="52">
        <f>AVERAGE(V6:V56)</f>
        <v>69.05735926965043</v>
      </c>
      <c r="W5">
        <v>1</v>
      </c>
      <c r="X5" s="24" t="str">
        <f aca="true" t="shared" si="2" ref="X5:X28">IF(ISERROR(VLOOKUP($W5,$R$5:$V$56,4,FALSE)),"-",VLOOKUP($W5,$R$5:$V$56,4,FALSE))</f>
        <v>RVY</v>
      </c>
      <c r="Y5" s="52">
        <f aca="true" t="shared" si="3" ref="Y5:Y28">IF(ISERROR(VLOOKUP($W5,$R$5:$V$56,5,FALSE)),"-",VLOOKUP($W5,$R$5:$V$56,5,FALSE))</f>
        <v>62.1946754577409</v>
      </c>
      <c r="Z5" s="52">
        <f>IF(OR(X5='Your 2012 score'!$P$9,X5="Ave"),"",Y5)</f>
        <v>62.1946754577409</v>
      </c>
      <c r="AA5" s="52">
        <f>IF(X5='Your 2012 score'!$P$9,Y5,"")</f>
      </c>
      <c r="AB5" s="52">
        <f>IF(X5="Ave",Y5,"")</f>
      </c>
    </row>
    <row r="6" spans="1:28" ht="12.75">
      <c r="A6" s="26">
        <v>3</v>
      </c>
      <c r="B6" s="50" t="s">
        <v>357</v>
      </c>
      <c r="C6" s="50">
        <f t="shared" si="1"/>
        <v>3</v>
      </c>
      <c r="D6" s="23" t="s">
        <v>2</v>
      </c>
      <c r="E6" s="50" t="s">
        <v>168</v>
      </c>
      <c r="F6" s="3" t="s">
        <v>169</v>
      </c>
      <c r="G6" s="24" t="s">
        <v>415</v>
      </c>
      <c r="H6" s="3" t="s">
        <v>423</v>
      </c>
      <c r="I6" s="3" t="s">
        <v>466</v>
      </c>
      <c r="J6" s="3">
        <f aca="true" t="shared" si="4" ref="J6:J36">IF($K$2=B6,J5,IF($N$2=I6,J5+1,J5))</f>
        <v>1</v>
      </c>
      <c r="K6" s="3">
        <f>IF(J6=J5,0,J6)</f>
        <v>0</v>
      </c>
      <c r="L6" s="3">
        <f t="shared" si="0"/>
        <v>0</v>
      </c>
      <c r="M6" s="202" t="s">
        <v>413</v>
      </c>
      <c r="N6" s="200" t="s">
        <v>467</v>
      </c>
      <c r="O6" s="201">
        <f>'historical data'!O185</f>
        <v>45</v>
      </c>
      <c r="P6" s="205">
        <f>COUNTIF($I$4:$I$159,N6)</f>
        <v>45</v>
      </c>
      <c r="Q6" s="57"/>
      <c r="R6" s="24">
        <f>IF(ISERROR(RANK(V6,$V$5:$V$56,1)),"-",RANK(V6,$V$5:$V$56,1))</f>
        <v>25</v>
      </c>
      <c r="S6" s="24">
        <v>0</v>
      </c>
      <c r="T6" s="24"/>
      <c r="U6" s="24" t="str">
        <f>$K$2</f>
        <v>REM</v>
      </c>
      <c r="V6" s="52">
        <f>IF(U6="-","-",VLOOKUP(U6,'historical data'!$E$4:$K$171,3,FALSE))</f>
        <v>68.5220736779702</v>
      </c>
      <c r="W6">
        <f>W5+1</f>
        <v>2</v>
      </c>
      <c r="X6" s="24" t="str">
        <f t="shared" si="2"/>
        <v>RJN</v>
      </c>
      <c r="Y6" s="52">
        <f t="shared" si="3"/>
        <v>62.8344704630126</v>
      </c>
      <c r="Z6" s="52">
        <f>IF(OR(X6='Your 2012 score'!$P$9,X6="Ave"),"",Y6)</f>
        <v>62.8344704630126</v>
      </c>
      <c r="AA6" s="52">
        <f>IF(X6='Your 2012 score'!$P$9,Y6,"")</f>
      </c>
      <c r="AB6" s="52">
        <f aca="true" t="shared" si="5" ref="AB6:AB56">IF(X6="Ave",Y6,"")</f>
      </c>
    </row>
    <row r="7" spans="1:28" ht="12.75">
      <c r="A7" s="26">
        <v>4</v>
      </c>
      <c r="B7" s="50" t="s">
        <v>359</v>
      </c>
      <c r="C7" s="50">
        <f t="shared" si="1"/>
        <v>4</v>
      </c>
      <c r="D7" s="23" t="s">
        <v>4</v>
      </c>
      <c r="E7" s="50" t="s">
        <v>164</v>
      </c>
      <c r="F7" s="3" t="s">
        <v>165</v>
      </c>
      <c r="G7" s="24" t="s">
        <v>414</v>
      </c>
      <c r="H7" s="3" t="s">
        <v>422</v>
      </c>
      <c r="I7" s="3" t="s">
        <v>468</v>
      </c>
      <c r="J7" s="3">
        <f t="shared" si="4"/>
        <v>1</v>
      </c>
      <c r="K7" s="3">
        <f aca="true" t="shared" si="6" ref="K7:K69">IF(J7=J6,0,J7)</f>
        <v>0</v>
      </c>
      <c r="L7" s="3">
        <f t="shared" si="0"/>
        <v>0</v>
      </c>
      <c r="M7" s="202" t="s">
        <v>414</v>
      </c>
      <c r="N7" s="200" t="s">
        <v>468</v>
      </c>
      <c r="O7" s="201">
        <f>'historical data'!O186</f>
        <v>25</v>
      </c>
      <c r="P7" s="205">
        <f>COUNTIF($I$4:$I$159,N7)</f>
        <v>25</v>
      </c>
      <c r="Q7" s="57"/>
      <c r="R7" s="24">
        <f>IF(ISERROR(RANK(V7,$V$5:$V$56,1)),"-",RANK(V7,$V$5:$V$56,1))</f>
        <v>17</v>
      </c>
      <c r="S7" s="24">
        <v>1</v>
      </c>
      <c r="T7" s="191">
        <f>IF(S7&lt;$O$2,VLOOKUP(S7,$K$4:$L$159,2,FALSE),"-")</f>
        <v>2</v>
      </c>
      <c r="U7" s="24" t="str">
        <f>IF(T7="-","-",VLOOKUP(T7,$A$4:$B$159,2,FALSE))</f>
        <v>RCF</v>
      </c>
      <c r="V7" s="52">
        <f>IF(U7="-","-",VLOOKUP(U7,'historical data'!$E$4:$K$171,3,FALSE))</f>
        <v>67.3362931726784</v>
      </c>
      <c r="W7">
        <f aca="true" t="shared" si="7" ref="W7:W54">W6+1</f>
        <v>3</v>
      </c>
      <c r="X7" s="24" t="str">
        <f t="shared" si="2"/>
        <v>RMP</v>
      </c>
      <c r="Y7" s="52">
        <f t="shared" si="3"/>
        <v>62.8387806943181</v>
      </c>
      <c r="Z7" s="52">
        <f>IF(OR(X7='Your 2012 score'!$P$9,X7="Ave"),"",Y7)</f>
        <v>62.8387806943181</v>
      </c>
      <c r="AA7" s="52">
        <f>IF(X7='Your 2012 score'!$P$9,Y7,"")</f>
      </c>
      <c r="AB7" s="52">
        <f t="shared" si="5"/>
      </c>
    </row>
    <row r="8" spans="1:28" ht="12.75">
      <c r="A8" s="26">
        <v>5</v>
      </c>
      <c r="B8" s="50" t="s">
        <v>362</v>
      </c>
      <c r="C8" s="50">
        <f t="shared" si="1"/>
        <v>5</v>
      </c>
      <c r="D8" s="23" t="s">
        <v>7</v>
      </c>
      <c r="E8" s="50" t="s">
        <v>164</v>
      </c>
      <c r="F8" s="3" t="s">
        <v>165</v>
      </c>
      <c r="G8" s="24" t="s">
        <v>414</v>
      </c>
      <c r="H8" s="3" t="s">
        <v>422</v>
      </c>
      <c r="I8" s="3" t="s">
        <v>468</v>
      </c>
      <c r="J8" s="3">
        <f t="shared" si="4"/>
        <v>1</v>
      </c>
      <c r="K8" s="3">
        <f t="shared" si="6"/>
        <v>0</v>
      </c>
      <c r="L8" s="3">
        <f t="shared" si="0"/>
        <v>0</v>
      </c>
      <c r="M8" s="202" t="s">
        <v>415</v>
      </c>
      <c r="N8" s="200" t="s">
        <v>466</v>
      </c>
      <c r="O8" s="201">
        <f>'historical data'!O187</f>
        <v>38</v>
      </c>
      <c r="P8" s="205">
        <f>COUNTIF($I$4:$I$159,N8)</f>
        <v>38</v>
      </c>
      <c r="Q8" s="57"/>
      <c r="R8" s="24">
        <f aca="true" t="shared" si="8" ref="R8:R35">IF(ISERROR(RANK(V8,$V$5:$V$56,1)),"-",RANK(V8,$V$5:$V$56,1))</f>
        <v>18</v>
      </c>
      <c r="S8" s="24">
        <v>2</v>
      </c>
      <c r="T8" s="191">
        <f aca="true" t="shared" si="9" ref="T8:T38">IF(S8&lt;$O$2,VLOOKUP(S8,$K$4:$L$159,2,FALSE),"-")</f>
        <v>6</v>
      </c>
      <c r="U8" s="24" t="str">
        <f aca="true" t="shared" si="10" ref="U8:U38">IF(T8="-","-",VLOOKUP(T8,$A$4:$B$159,2,FALSE))</f>
        <v>RFF</v>
      </c>
      <c r="V8" s="52">
        <f>IF(U8="-","-",VLOOKUP(U8,'historical data'!$E$4:$K$171,3,FALSE))</f>
        <v>67.4014745639147</v>
      </c>
      <c r="W8">
        <f t="shared" si="7"/>
        <v>4</v>
      </c>
      <c r="X8" s="24" t="str">
        <f t="shared" si="2"/>
        <v>RAE</v>
      </c>
      <c r="Y8" s="52">
        <f t="shared" si="3"/>
        <v>62.8883575536011</v>
      </c>
      <c r="Z8" s="52">
        <f>IF(OR(X8='Your 2012 score'!$P$9,X8="Ave"),"",Y8)</f>
        <v>62.8883575536011</v>
      </c>
      <c r="AA8" s="52">
        <f>IF(X8='Your 2012 score'!$P$9,Y8,"")</f>
      </c>
      <c r="AB8" s="52">
        <f t="shared" si="5"/>
      </c>
    </row>
    <row r="9" spans="1:28" ht="12.75">
      <c r="A9" s="26">
        <v>6</v>
      </c>
      <c r="B9" s="50" t="s">
        <v>345</v>
      </c>
      <c r="C9" s="50">
        <f t="shared" si="1"/>
        <v>6</v>
      </c>
      <c r="D9" s="23" t="s">
        <v>29</v>
      </c>
      <c r="E9" s="50" t="s">
        <v>166</v>
      </c>
      <c r="F9" s="3" t="s">
        <v>167</v>
      </c>
      <c r="G9" s="24" t="s">
        <v>412</v>
      </c>
      <c r="H9" s="3" t="s">
        <v>418</v>
      </c>
      <c r="I9" s="3" t="s">
        <v>465</v>
      </c>
      <c r="J9" s="3">
        <f t="shared" si="4"/>
        <v>2</v>
      </c>
      <c r="K9" s="3">
        <f t="shared" si="6"/>
        <v>2</v>
      </c>
      <c r="L9" s="3">
        <f t="shared" si="0"/>
        <v>6</v>
      </c>
      <c r="M9" s="203"/>
      <c r="N9" s="3"/>
      <c r="O9" s="3">
        <f>SUM(O5:O8)</f>
        <v>156</v>
      </c>
      <c r="Q9" s="57"/>
      <c r="R9" s="24">
        <f t="shared" si="8"/>
        <v>8</v>
      </c>
      <c r="S9" s="24">
        <v>3</v>
      </c>
      <c r="T9" s="191">
        <f t="shared" si="9"/>
        <v>12</v>
      </c>
      <c r="U9" s="24" t="str">
        <f t="shared" si="10"/>
        <v>RXL</v>
      </c>
      <c r="V9" s="52">
        <f>IF(U9="-","-",VLOOKUP(U9,'historical data'!$E$4:$K$171,3,FALSE))</f>
        <v>65.6083495866062</v>
      </c>
      <c r="W9">
        <f t="shared" si="7"/>
        <v>5</v>
      </c>
      <c r="X9" s="24" t="str">
        <f t="shared" si="2"/>
        <v>RWJ</v>
      </c>
      <c r="Y9" s="52">
        <f t="shared" si="3"/>
        <v>63.2748203494433</v>
      </c>
      <c r="Z9" s="52">
        <f>IF(OR(X9='Your 2012 score'!$P$9,X9="Ave"),"",Y9)</f>
        <v>63.2748203494433</v>
      </c>
      <c r="AA9" s="52">
        <f>IF(X9='Your 2012 score'!$P$9,Y9,"")</f>
      </c>
      <c r="AB9" s="52">
        <f t="shared" si="5"/>
      </c>
    </row>
    <row r="10" spans="1:28" ht="12.75">
      <c r="A10" s="26">
        <v>7</v>
      </c>
      <c r="B10" s="50" t="str">
        <f>'historical data'!E11</f>
        <v>R1H</v>
      </c>
      <c r="C10" s="50">
        <f t="shared" si="1"/>
        <v>7</v>
      </c>
      <c r="D10" s="23" t="str">
        <f>'historical data'!D11</f>
        <v>Barts Health NHS Trust</v>
      </c>
      <c r="E10" s="50"/>
      <c r="F10" s="3"/>
      <c r="G10" s="224" t="s">
        <v>414</v>
      </c>
      <c r="H10" s="3" t="s">
        <v>422</v>
      </c>
      <c r="I10" s="3" t="s">
        <v>468</v>
      </c>
      <c r="J10" s="3">
        <f t="shared" si="4"/>
        <v>2</v>
      </c>
      <c r="K10" s="3">
        <f t="shared" si="6"/>
        <v>0</v>
      </c>
      <c r="L10" s="3">
        <f t="shared" si="0"/>
        <v>0</v>
      </c>
      <c r="Q10" s="57"/>
      <c r="R10" s="24">
        <f t="shared" si="8"/>
        <v>4</v>
      </c>
      <c r="S10" s="24">
        <v>4</v>
      </c>
      <c r="T10" s="191">
        <f t="shared" si="9"/>
        <v>13</v>
      </c>
      <c r="U10" s="24" t="str">
        <f t="shared" si="10"/>
        <v>RAE</v>
      </c>
      <c r="V10" s="52">
        <f>IF(U10="-","-",VLOOKUP(U10,'historical data'!$E$4:$K$171,3,FALSE))</f>
        <v>62.8883575536011</v>
      </c>
      <c r="W10">
        <f t="shared" si="7"/>
        <v>6</v>
      </c>
      <c r="X10" s="24" t="str">
        <f t="shared" si="2"/>
        <v>RBT</v>
      </c>
      <c r="Y10" s="52">
        <f t="shared" si="3"/>
        <v>64.1775261961956</v>
      </c>
      <c r="Z10" s="52">
        <f>IF(OR(X10='Your 2012 score'!$P$9,X10="Ave"),"",Y10)</f>
        <v>64.1775261961956</v>
      </c>
      <c r="AA10" s="52">
        <f>IF(X10='Your 2012 score'!$P$9,Y10,"")</f>
      </c>
      <c r="AB10" s="52">
        <f t="shared" si="5"/>
      </c>
    </row>
    <row r="11" spans="1:28" ht="12.75">
      <c r="A11" s="26">
        <v>8</v>
      </c>
      <c r="B11" s="50" t="s">
        <v>75</v>
      </c>
      <c r="C11" s="50">
        <f t="shared" si="1"/>
        <v>8</v>
      </c>
      <c r="D11" s="23" t="s">
        <v>428</v>
      </c>
      <c r="E11" s="50" t="s">
        <v>168</v>
      </c>
      <c r="F11" s="3" t="s">
        <v>169</v>
      </c>
      <c r="G11" s="24" t="s">
        <v>413</v>
      </c>
      <c r="H11" s="3" t="s">
        <v>421</v>
      </c>
      <c r="I11" s="3" t="s">
        <v>467</v>
      </c>
      <c r="J11" s="3">
        <f t="shared" si="4"/>
        <v>2</v>
      </c>
      <c r="K11" s="3">
        <f>IF(J11=J10,0,J11)</f>
        <v>0</v>
      </c>
      <c r="L11" s="3">
        <f>IF(K11=0,0,C11)</f>
        <v>0</v>
      </c>
      <c r="O11" s="202"/>
      <c r="Q11" s="57"/>
      <c r="R11" s="24">
        <f t="shared" si="8"/>
        <v>34</v>
      </c>
      <c r="S11" s="24">
        <v>5</v>
      </c>
      <c r="T11" s="191">
        <f t="shared" si="9"/>
        <v>17</v>
      </c>
      <c r="U11" s="24" t="str">
        <f t="shared" si="10"/>
        <v>RWY</v>
      </c>
      <c r="V11" s="52">
        <f>IF(U11="-","-",VLOOKUP(U11,'historical data'!$E$4:$K$171,3,FALSE))</f>
        <v>69.7294111655363</v>
      </c>
      <c r="W11">
        <f t="shared" si="7"/>
        <v>7</v>
      </c>
      <c r="X11" s="24" t="str">
        <f t="shared" si="2"/>
        <v>RR8</v>
      </c>
      <c r="Y11" s="52">
        <f t="shared" si="3"/>
        <v>65.5779480916414</v>
      </c>
      <c r="Z11" s="52">
        <f>IF(OR(X11='Your 2012 score'!$P$9,X11="Ave"),"",Y11)</f>
        <v>65.5779480916414</v>
      </c>
      <c r="AA11" s="52">
        <f>IF(X11='Your 2012 score'!$P$9,Y11,"")</f>
      </c>
      <c r="AB11" s="52">
        <f t="shared" si="5"/>
      </c>
    </row>
    <row r="12" spans="1:28" ht="12.75">
      <c r="A12" s="26">
        <v>9</v>
      </c>
      <c r="B12" s="50" t="s">
        <v>394</v>
      </c>
      <c r="C12" s="50">
        <f t="shared" si="1"/>
        <v>9</v>
      </c>
      <c r="D12" s="23" t="s">
        <v>260</v>
      </c>
      <c r="E12" s="50" t="s">
        <v>166</v>
      </c>
      <c r="F12" s="3" t="s">
        <v>167</v>
      </c>
      <c r="G12" s="24" t="s">
        <v>415</v>
      </c>
      <c r="H12" s="3" t="s">
        <v>424</v>
      </c>
      <c r="I12" s="3" t="s">
        <v>466</v>
      </c>
      <c r="J12" s="3">
        <f t="shared" si="4"/>
        <v>2</v>
      </c>
      <c r="K12" s="3">
        <f t="shared" si="6"/>
        <v>0</v>
      </c>
      <c r="L12" s="3">
        <f t="shared" si="0"/>
        <v>0</v>
      </c>
      <c r="O12" s="202"/>
      <c r="Q12" s="57"/>
      <c r="R12" s="24">
        <f t="shared" si="8"/>
        <v>16</v>
      </c>
      <c r="S12" s="24">
        <v>6</v>
      </c>
      <c r="T12" s="191">
        <f t="shared" si="9"/>
        <v>19</v>
      </c>
      <c r="U12" s="24" t="str">
        <f t="shared" si="10"/>
        <v>RW3</v>
      </c>
      <c r="V12" s="52">
        <f>IF(U12="-","-",VLOOKUP(U12,'historical data'!$E$4:$K$171,3,FALSE))</f>
        <v>67.1383415218861</v>
      </c>
      <c r="W12">
        <f t="shared" si="7"/>
        <v>8</v>
      </c>
      <c r="X12" s="24" t="str">
        <f t="shared" si="2"/>
        <v>RXL</v>
      </c>
      <c r="Y12" s="52">
        <f t="shared" si="3"/>
        <v>65.6083495866062</v>
      </c>
      <c r="Z12" s="52">
        <f>IF(OR(X12='Your 2012 score'!$P$9,X12="Ave"),"",Y12)</f>
        <v>65.6083495866062</v>
      </c>
      <c r="AA12" s="52">
        <f>IF(X12='Your 2012 score'!$P$9,Y12,"")</f>
      </c>
      <c r="AB12" s="52">
        <f t="shared" si="5"/>
      </c>
    </row>
    <row r="13" spans="1:28" ht="12.75">
      <c r="A13" s="26">
        <v>10</v>
      </c>
      <c r="B13" s="50" t="s">
        <v>349</v>
      </c>
      <c r="C13" s="50">
        <f t="shared" si="1"/>
        <v>10</v>
      </c>
      <c r="D13" s="23" t="s">
        <v>30</v>
      </c>
      <c r="E13" s="50" t="s">
        <v>166</v>
      </c>
      <c r="F13" s="3" t="s">
        <v>167</v>
      </c>
      <c r="G13" s="24" t="s">
        <v>413</v>
      </c>
      <c r="H13" s="3" t="s">
        <v>421</v>
      </c>
      <c r="I13" s="3" t="s">
        <v>467</v>
      </c>
      <c r="J13" s="3">
        <f t="shared" si="4"/>
        <v>2</v>
      </c>
      <c r="K13" s="3">
        <f t="shared" si="6"/>
        <v>0</v>
      </c>
      <c r="L13" s="3">
        <f t="shared" si="0"/>
        <v>0</v>
      </c>
      <c r="N13" s="4"/>
      <c r="O13" s="202"/>
      <c r="Q13" s="57"/>
      <c r="R13" s="24">
        <f t="shared" si="8"/>
        <v>48</v>
      </c>
      <c r="S13" s="24">
        <f>S12+1</f>
        <v>7</v>
      </c>
      <c r="T13" s="191">
        <f t="shared" si="9"/>
        <v>22</v>
      </c>
      <c r="U13" s="24" t="str">
        <f t="shared" si="10"/>
        <v>RBV</v>
      </c>
      <c r="V13" s="52">
        <f>IF(U13="-","-",VLOOKUP(U13,'historical data'!$E$4:$K$171,3,FALSE))</f>
        <v>83.8547737875298</v>
      </c>
      <c r="W13">
        <f t="shared" si="7"/>
        <v>9</v>
      </c>
      <c r="X13" s="24" t="str">
        <f t="shared" si="2"/>
        <v>RW6</v>
      </c>
      <c r="Y13" s="52">
        <f t="shared" si="3"/>
        <v>66.1336930255687</v>
      </c>
      <c r="Z13" s="52">
        <f>IF(OR(X13='Your 2012 score'!$P$9,X13="Ave"),"",Y13)</f>
        <v>66.1336930255687</v>
      </c>
      <c r="AA13" s="52">
        <f>IF(X13='Your 2012 score'!$P$9,Y13,"")</f>
      </c>
      <c r="AB13" s="52">
        <f t="shared" si="5"/>
      </c>
    </row>
    <row r="14" spans="1:28" ht="12.75">
      <c r="A14" s="26">
        <v>11</v>
      </c>
      <c r="B14" s="50" t="s">
        <v>76</v>
      </c>
      <c r="C14" s="50">
        <f t="shared" si="1"/>
        <v>11</v>
      </c>
      <c r="D14" s="23" t="s">
        <v>53</v>
      </c>
      <c r="E14" s="50" t="s">
        <v>172</v>
      </c>
      <c r="F14" s="3" t="s">
        <v>173</v>
      </c>
      <c r="G14" s="24" t="s">
        <v>413</v>
      </c>
      <c r="H14" s="3" t="s">
        <v>420</v>
      </c>
      <c r="I14" s="3" t="s">
        <v>467</v>
      </c>
      <c r="J14" s="3">
        <f t="shared" si="4"/>
        <v>2</v>
      </c>
      <c r="K14" s="3">
        <f t="shared" si="6"/>
        <v>0</v>
      </c>
      <c r="L14" s="3">
        <f t="shared" si="0"/>
        <v>0</v>
      </c>
      <c r="N14" s="4"/>
      <c r="O14" s="202"/>
      <c r="Q14" s="57"/>
      <c r="R14" s="24">
        <f t="shared" si="8"/>
        <v>31</v>
      </c>
      <c r="S14" s="24">
        <f aca="true" t="shared" si="11" ref="S14:S56">S13+1</f>
        <v>8</v>
      </c>
      <c r="T14" s="191">
        <f t="shared" si="9"/>
        <v>23</v>
      </c>
      <c r="U14" s="24" t="str">
        <f t="shared" si="10"/>
        <v>RLN</v>
      </c>
      <c r="V14" s="52">
        <f>IF(U14="-","-",VLOOKUP(U14,'historical data'!$E$4:$K$171,3,FALSE))</f>
        <v>68.8692571281504</v>
      </c>
      <c r="W14">
        <f t="shared" si="7"/>
        <v>10</v>
      </c>
      <c r="X14" s="24" t="str">
        <f t="shared" si="2"/>
        <v>RNL</v>
      </c>
      <c r="Y14" s="52">
        <f t="shared" si="3"/>
        <v>66.2311738697655</v>
      </c>
      <c r="Z14" s="52">
        <f>IF(OR(X14='Your 2012 score'!$P$9,X14="Ave"),"",Y14)</f>
        <v>66.2311738697655</v>
      </c>
      <c r="AA14" s="52">
        <f>IF(X14='Your 2012 score'!$P$9,Y14,"")</f>
      </c>
      <c r="AB14" s="52">
        <f t="shared" si="5"/>
      </c>
    </row>
    <row r="15" spans="1:28" ht="12.75">
      <c r="A15" s="26">
        <v>12</v>
      </c>
      <c r="B15" s="50" t="s">
        <v>331</v>
      </c>
      <c r="C15" s="50">
        <f t="shared" si="1"/>
        <v>12</v>
      </c>
      <c r="D15" s="23" t="s">
        <v>113</v>
      </c>
      <c r="E15" s="50" t="s">
        <v>164</v>
      </c>
      <c r="F15" s="3" t="s">
        <v>165</v>
      </c>
      <c r="G15" s="24" t="s">
        <v>412</v>
      </c>
      <c r="H15" s="3" t="s">
        <v>417</v>
      </c>
      <c r="I15" s="3" t="s">
        <v>465</v>
      </c>
      <c r="J15" s="3">
        <f t="shared" si="4"/>
        <v>3</v>
      </c>
      <c r="K15" s="3">
        <f t="shared" si="6"/>
        <v>3</v>
      </c>
      <c r="L15" s="3">
        <f t="shared" si="0"/>
        <v>12</v>
      </c>
      <c r="N15" s="4"/>
      <c r="O15" s="4"/>
      <c r="P15" s="4"/>
      <c r="Q15" s="57"/>
      <c r="R15" s="24">
        <f t="shared" si="8"/>
        <v>49</v>
      </c>
      <c r="S15" s="24">
        <f t="shared" si="11"/>
        <v>9</v>
      </c>
      <c r="T15" s="191">
        <f t="shared" si="9"/>
        <v>24</v>
      </c>
      <c r="U15" s="24" t="str">
        <f t="shared" si="10"/>
        <v>REN</v>
      </c>
      <c r="V15" s="52">
        <f>IF(U15="-","-",VLOOKUP(U15,'historical data'!$E$4:$K$171,3,FALSE))</f>
        <v>84.3633832094524</v>
      </c>
      <c r="W15">
        <f t="shared" si="7"/>
        <v>11</v>
      </c>
      <c r="X15" s="24" t="str">
        <f t="shared" si="2"/>
        <v>RE9</v>
      </c>
      <c r="Y15" s="52">
        <f t="shared" si="3"/>
        <v>66.3684021709617</v>
      </c>
      <c r="Z15" s="52">
        <f>IF(OR(X15='Your 2012 score'!$P$9,X15="Ave"),"",Y15)</f>
        <v>66.3684021709617</v>
      </c>
      <c r="AA15" s="52">
        <f>IF(X15='Your 2012 score'!$P$9,Y15,"")</f>
      </c>
      <c r="AB15" s="52">
        <f t="shared" si="5"/>
      </c>
    </row>
    <row r="16" spans="1:28" ht="12.75">
      <c r="A16" s="26">
        <v>13</v>
      </c>
      <c r="B16" s="50" t="s">
        <v>370</v>
      </c>
      <c r="C16" s="50">
        <f t="shared" si="1"/>
        <v>13</v>
      </c>
      <c r="D16" s="23" t="s">
        <v>36</v>
      </c>
      <c r="E16" s="50" t="s">
        <v>170</v>
      </c>
      <c r="F16" s="3" t="s">
        <v>171</v>
      </c>
      <c r="G16" s="24" t="s">
        <v>412</v>
      </c>
      <c r="H16" s="3" t="s">
        <v>418</v>
      </c>
      <c r="I16" s="3" t="s">
        <v>465</v>
      </c>
      <c r="J16" s="3">
        <f t="shared" si="4"/>
        <v>4</v>
      </c>
      <c r="K16" s="3">
        <f t="shared" si="6"/>
        <v>4</v>
      </c>
      <c r="L16" s="3">
        <f t="shared" si="0"/>
        <v>13</v>
      </c>
      <c r="N16" s="4"/>
      <c r="O16" s="4"/>
      <c r="P16" s="4"/>
      <c r="Q16" s="57"/>
      <c r="R16" s="24">
        <f t="shared" si="8"/>
        <v>32</v>
      </c>
      <c r="S16" s="24">
        <f t="shared" si="11"/>
        <v>10</v>
      </c>
      <c r="T16" s="191">
        <f t="shared" si="9"/>
        <v>26</v>
      </c>
      <c r="U16" s="24" t="str">
        <f t="shared" si="10"/>
        <v>RJR</v>
      </c>
      <c r="V16" s="52">
        <f>IF(U16="-","-",VLOOKUP(U16,'historical data'!$E$4:$K$171,3,FALSE))</f>
        <v>68.8913514300983</v>
      </c>
      <c r="W16">
        <f t="shared" si="7"/>
        <v>12</v>
      </c>
      <c r="X16" s="24" t="str">
        <f t="shared" si="2"/>
        <v>RXF</v>
      </c>
      <c r="Y16" s="52">
        <f t="shared" si="3"/>
        <v>66.5242345158583</v>
      </c>
      <c r="Z16" s="52">
        <f>IF(OR(X16='Your 2012 score'!$P$9,X16="Ave"),"",Y16)</f>
        <v>66.5242345158583</v>
      </c>
      <c r="AA16" s="52">
        <f>IF(X16='Your 2012 score'!$P$9,Y16,"")</f>
      </c>
      <c r="AB16" s="52">
        <f t="shared" si="5"/>
      </c>
    </row>
    <row r="17" spans="1:28" ht="12.75">
      <c r="A17" s="26">
        <v>14</v>
      </c>
      <c r="B17" s="50" t="s">
        <v>332</v>
      </c>
      <c r="C17" s="50">
        <f t="shared" si="1"/>
        <v>14</v>
      </c>
      <c r="D17" s="23" t="s">
        <v>429</v>
      </c>
      <c r="E17" s="50" t="s">
        <v>164</v>
      </c>
      <c r="F17" s="3" t="s">
        <v>165</v>
      </c>
      <c r="G17" s="24" t="s">
        <v>415</v>
      </c>
      <c r="H17" s="3" t="s">
        <v>423</v>
      </c>
      <c r="I17" s="3" t="s">
        <v>466</v>
      </c>
      <c r="J17" s="3">
        <f t="shared" si="4"/>
        <v>4</v>
      </c>
      <c r="K17" s="3">
        <f t="shared" si="6"/>
        <v>0</v>
      </c>
      <c r="L17" s="3">
        <f t="shared" si="0"/>
        <v>0</v>
      </c>
      <c r="N17" s="4"/>
      <c r="O17" s="4"/>
      <c r="P17" s="4"/>
      <c r="Q17" s="57"/>
      <c r="R17" s="24">
        <f t="shared" si="8"/>
        <v>24</v>
      </c>
      <c r="S17" s="24">
        <f t="shared" si="11"/>
        <v>11</v>
      </c>
      <c r="T17" s="191">
        <f t="shared" si="9"/>
        <v>27</v>
      </c>
      <c r="U17" s="24" t="str">
        <f t="shared" si="10"/>
        <v>RXP</v>
      </c>
      <c r="V17" s="52">
        <f>IF(U17="-","-",VLOOKUP(U17,'historical data'!$E$4:$K$171,3,FALSE))</f>
        <v>68.5161326883974</v>
      </c>
      <c r="W17">
        <f t="shared" si="7"/>
        <v>13</v>
      </c>
      <c r="X17" s="24" t="str">
        <f t="shared" si="2"/>
        <v>RTX</v>
      </c>
      <c r="Y17" s="52">
        <f t="shared" si="3"/>
        <v>66.6093227391906</v>
      </c>
      <c r="Z17" s="52">
        <f>IF(OR(X17='Your 2012 score'!$P$9,X17="Ave"),"",Y17)</f>
        <v>66.6093227391906</v>
      </c>
      <c r="AA17" s="52">
        <f>IF(X17='Your 2012 score'!$P$9,Y17,"")</f>
      </c>
      <c r="AB17" s="52">
        <f t="shared" si="5"/>
      </c>
    </row>
    <row r="18" spans="1:28" ht="12.75">
      <c r="A18" s="26">
        <v>15</v>
      </c>
      <c r="B18" s="50" t="s">
        <v>337</v>
      </c>
      <c r="C18" s="50">
        <f t="shared" si="1"/>
        <v>15</v>
      </c>
      <c r="D18" s="23" t="s">
        <v>432</v>
      </c>
      <c r="E18" s="50" t="s">
        <v>174</v>
      </c>
      <c r="F18" s="3" t="s">
        <v>175</v>
      </c>
      <c r="G18" s="24" t="s">
        <v>415</v>
      </c>
      <c r="H18" s="3" t="s">
        <v>424</v>
      </c>
      <c r="I18" s="3" t="s">
        <v>466</v>
      </c>
      <c r="J18" s="3">
        <f t="shared" si="4"/>
        <v>4</v>
      </c>
      <c r="K18" s="3">
        <f t="shared" si="6"/>
        <v>0</v>
      </c>
      <c r="L18" s="3">
        <f t="shared" si="0"/>
        <v>0</v>
      </c>
      <c r="N18" s="4"/>
      <c r="O18" s="4"/>
      <c r="P18" s="4"/>
      <c r="R18" s="24">
        <f t="shared" si="8"/>
        <v>30</v>
      </c>
      <c r="S18" s="24">
        <f t="shared" si="11"/>
        <v>12</v>
      </c>
      <c r="T18" s="191">
        <f t="shared" si="9"/>
        <v>31</v>
      </c>
      <c r="U18" s="24" t="str">
        <f t="shared" si="10"/>
        <v>RP5</v>
      </c>
      <c r="V18" s="52">
        <f>IF(U18="-","-",VLOOKUP(U18,'historical data'!$E$4:$K$171,3,FALSE))</f>
        <v>68.8629737002705</v>
      </c>
      <c r="W18">
        <f t="shared" si="7"/>
        <v>14</v>
      </c>
      <c r="X18" s="24" t="str">
        <f t="shared" si="2"/>
        <v>RWW</v>
      </c>
      <c r="Y18" s="52">
        <f t="shared" si="3"/>
        <v>66.6690344778668</v>
      </c>
      <c r="Z18" s="52">
        <f>IF(OR(X18='Your 2012 score'!$P$9,X18="Ave"),"",Y18)</f>
        <v>66.6690344778668</v>
      </c>
      <c r="AA18" s="52">
        <f>IF(X18='Your 2012 score'!$P$9,Y18,"")</f>
      </c>
      <c r="AB18" s="52">
        <f t="shared" si="5"/>
      </c>
    </row>
    <row r="19" spans="1:28" ht="12.75">
      <c r="A19" s="26">
        <v>16</v>
      </c>
      <c r="B19" s="50" t="s">
        <v>360</v>
      </c>
      <c r="C19" s="50">
        <f t="shared" si="1"/>
        <v>16</v>
      </c>
      <c r="D19" s="23" t="s">
        <v>5</v>
      </c>
      <c r="E19" s="50" t="s">
        <v>166</v>
      </c>
      <c r="F19" s="3" t="s">
        <v>167</v>
      </c>
      <c r="G19" s="24" t="s">
        <v>413</v>
      </c>
      <c r="H19" s="3" t="s">
        <v>420</v>
      </c>
      <c r="I19" s="3" t="s">
        <v>467</v>
      </c>
      <c r="J19" s="3">
        <f t="shared" si="4"/>
        <v>4</v>
      </c>
      <c r="K19" s="3">
        <f t="shared" si="6"/>
        <v>0</v>
      </c>
      <c r="L19" s="3">
        <f t="shared" si="0"/>
        <v>0</v>
      </c>
      <c r="N19" s="4"/>
      <c r="O19" s="4"/>
      <c r="P19" s="4"/>
      <c r="Q19" s="4"/>
      <c r="R19" s="24">
        <f t="shared" si="8"/>
        <v>2</v>
      </c>
      <c r="S19" s="24">
        <f t="shared" si="11"/>
        <v>13</v>
      </c>
      <c r="T19" s="191">
        <f t="shared" si="9"/>
        <v>36</v>
      </c>
      <c r="U19" s="24" t="str">
        <f t="shared" si="10"/>
        <v>RJN</v>
      </c>
      <c r="V19" s="52">
        <f>IF(U19="-","-",VLOOKUP(U19,'historical data'!$E$4:$K$171,3,FALSE))</f>
        <v>62.8344704630126</v>
      </c>
      <c r="W19">
        <f t="shared" si="7"/>
        <v>15</v>
      </c>
      <c r="X19" s="24" t="str">
        <f t="shared" si="2"/>
        <v>RXN</v>
      </c>
      <c r="Y19" s="52">
        <f t="shared" si="3"/>
        <v>66.9767284748322</v>
      </c>
      <c r="Z19" s="52">
        <f>IF(OR(X19='Your 2012 score'!$P$9,X19="Ave"),"",Y19)</f>
        <v>66.9767284748322</v>
      </c>
      <c r="AA19" s="52">
        <f>IF(X19='Your 2012 score'!$P$9,Y19,"")</f>
      </c>
      <c r="AB19" s="52">
        <f t="shared" si="5"/>
      </c>
    </row>
    <row r="20" spans="1:28" ht="12.75">
      <c r="A20" s="26">
        <v>17</v>
      </c>
      <c r="B20" s="50" t="s">
        <v>78</v>
      </c>
      <c r="C20" s="50">
        <f t="shared" si="1"/>
        <v>17</v>
      </c>
      <c r="D20" s="23" t="s">
        <v>55</v>
      </c>
      <c r="E20" s="50" t="s">
        <v>164</v>
      </c>
      <c r="F20" s="3" t="s">
        <v>165</v>
      </c>
      <c r="G20" s="24" t="s">
        <v>412</v>
      </c>
      <c r="H20" s="3" t="s">
        <v>418</v>
      </c>
      <c r="I20" s="3" t="s">
        <v>465</v>
      </c>
      <c r="J20" s="3">
        <f t="shared" si="4"/>
        <v>5</v>
      </c>
      <c r="K20" s="3">
        <f t="shared" si="6"/>
        <v>5</v>
      </c>
      <c r="L20" s="3">
        <f t="shared" si="0"/>
        <v>17</v>
      </c>
      <c r="N20" s="4"/>
      <c r="O20" s="4"/>
      <c r="P20" s="4"/>
      <c r="Q20" s="4"/>
      <c r="R20" s="24">
        <f t="shared" si="8"/>
        <v>20</v>
      </c>
      <c r="S20" s="24">
        <f t="shared" si="11"/>
        <v>14</v>
      </c>
      <c r="T20" s="191">
        <f t="shared" si="9"/>
        <v>38</v>
      </c>
      <c r="U20" s="24" t="str">
        <f t="shared" si="10"/>
        <v>RXR</v>
      </c>
      <c r="V20" s="52">
        <f>IF(U20="-","-",VLOOKUP(U20,'historical data'!$E$4:$K$171,3,FALSE))</f>
        <v>68.0120855831481</v>
      </c>
      <c r="W20">
        <f t="shared" si="7"/>
        <v>16</v>
      </c>
      <c r="X20" s="24" t="str">
        <f t="shared" si="2"/>
        <v>RW3</v>
      </c>
      <c r="Y20" s="52">
        <f t="shared" si="3"/>
        <v>67.1383415218861</v>
      </c>
      <c r="Z20" s="52">
        <f>IF(OR(X20='Your 2012 score'!$P$9,X20="Ave"),"",Y20)</f>
        <v>67.1383415218861</v>
      </c>
      <c r="AA20" s="52">
        <f>IF(X20='Your 2012 score'!$P$9,Y20,"")</f>
      </c>
      <c r="AB20" s="52">
        <f t="shared" si="5"/>
      </c>
    </row>
    <row r="21" spans="1:28" ht="12.75">
      <c r="A21" s="26">
        <v>18</v>
      </c>
      <c r="B21" s="50" t="s">
        <v>404</v>
      </c>
      <c r="C21" s="50">
        <f t="shared" si="1"/>
        <v>18</v>
      </c>
      <c r="D21" s="23" t="s">
        <v>247</v>
      </c>
      <c r="E21" s="50" t="s">
        <v>170</v>
      </c>
      <c r="F21" s="3" t="s">
        <v>171</v>
      </c>
      <c r="G21" s="24" t="s">
        <v>413</v>
      </c>
      <c r="H21" s="3" t="s">
        <v>421</v>
      </c>
      <c r="I21" s="3" t="s">
        <v>467</v>
      </c>
      <c r="J21" s="3">
        <f t="shared" si="4"/>
        <v>5</v>
      </c>
      <c r="K21" s="3">
        <f t="shared" si="6"/>
        <v>0</v>
      </c>
      <c r="L21" s="3">
        <f t="shared" si="0"/>
        <v>0</v>
      </c>
      <c r="N21" s="4"/>
      <c r="O21" s="4"/>
      <c r="P21" s="4"/>
      <c r="Q21" s="57"/>
      <c r="R21" s="24">
        <f t="shared" si="8"/>
        <v>35</v>
      </c>
      <c r="S21" s="24">
        <f t="shared" si="11"/>
        <v>15</v>
      </c>
      <c r="T21" s="191">
        <f t="shared" si="9"/>
        <v>42</v>
      </c>
      <c r="U21" s="24" t="str">
        <f t="shared" si="10"/>
        <v>RR7</v>
      </c>
      <c r="V21" s="52">
        <f>IF(U21="-","-",VLOOKUP(U21,'historical data'!$E$4:$K$171,3,FALSE))</f>
        <v>70.3184807566351</v>
      </c>
      <c r="W21">
        <f t="shared" si="7"/>
        <v>17</v>
      </c>
      <c r="X21" s="24" t="str">
        <f t="shared" si="2"/>
        <v>RCF</v>
      </c>
      <c r="Y21" s="52">
        <f t="shared" si="3"/>
        <v>67.3362931726784</v>
      </c>
      <c r="Z21" s="52">
        <f>IF(OR(X21='Your 2012 score'!$P$9,X21="Ave"),"",Y21)</f>
        <v>67.3362931726784</v>
      </c>
      <c r="AA21" s="52">
        <f>IF(X21='Your 2012 score'!$P$9,Y21,"")</f>
      </c>
      <c r="AB21" s="52">
        <f t="shared" si="5"/>
      </c>
    </row>
    <row r="22" spans="1:28" ht="12.75">
      <c r="A22" s="26">
        <v>19</v>
      </c>
      <c r="B22" s="50" t="s">
        <v>80</v>
      </c>
      <c r="C22" s="50">
        <f t="shared" si="1"/>
        <v>19</v>
      </c>
      <c r="D22" s="23" t="s">
        <v>153</v>
      </c>
      <c r="E22" s="50" t="s">
        <v>170</v>
      </c>
      <c r="F22" s="3" t="s">
        <v>171</v>
      </c>
      <c r="G22" s="24" t="s">
        <v>412</v>
      </c>
      <c r="H22" s="3" t="s">
        <v>417</v>
      </c>
      <c r="I22" s="3" t="s">
        <v>465</v>
      </c>
      <c r="J22" s="3">
        <f t="shared" si="4"/>
        <v>6</v>
      </c>
      <c r="K22" s="3">
        <f t="shared" si="6"/>
        <v>6</v>
      </c>
      <c r="L22" s="3">
        <f t="shared" si="0"/>
        <v>19</v>
      </c>
      <c r="N22" s="4"/>
      <c r="O22" s="4"/>
      <c r="P22" s="4"/>
      <c r="Q22" s="57"/>
      <c r="R22" s="24">
        <f t="shared" si="8"/>
        <v>44</v>
      </c>
      <c r="S22" s="24">
        <f t="shared" si="11"/>
        <v>16</v>
      </c>
      <c r="T22" s="191">
        <f t="shared" si="9"/>
        <v>47</v>
      </c>
      <c r="U22" s="24" t="str">
        <f t="shared" si="10"/>
        <v>RCD</v>
      </c>
      <c r="V22" s="52">
        <f>IF(U22="-","-",VLOOKUP(U22,'historical data'!$E$4:$K$171,3,FALSE))</f>
        <v>71.7664984545867</v>
      </c>
      <c r="W22">
        <f t="shared" si="7"/>
        <v>18</v>
      </c>
      <c r="X22" s="24" t="str">
        <f t="shared" si="2"/>
        <v>RFF</v>
      </c>
      <c r="Y22" s="52">
        <f t="shared" si="3"/>
        <v>67.4014745639147</v>
      </c>
      <c r="Z22" s="52">
        <f>IF(OR(X22='Your 2012 score'!$P$9,X22="Ave"),"",Y22)</f>
        <v>67.4014745639147</v>
      </c>
      <c r="AA22" s="52">
        <f>IF(X22='Your 2012 score'!$P$9,Y22,"")</f>
      </c>
      <c r="AB22" s="52">
        <f t="shared" si="5"/>
      </c>
    </row>
    <row r="23" spans="1:28" ht="12.75">
      <c r="A23" s="26">
        <v>20</v>
      </c>
      <c r="B23" s="50" t="s">
        <v>81</v>
      </c>
      <c r="C23" s="50">
        <f t="shared" si="1"/>
        <v>20</v>
      </c>
      <c r="D23" s="23" t="s">
        <v>57</v>
      </c>
      <c r="E23" s="50" t="s">
        <v>170</v>
      </c>
      <c r="F23" s="3" t="s">
        <v>171</v>
      </c>
      <c r="G23" s="24" t="s">
        <v>414</v>
      </c>
      <c r="H23" s="3" t="s">
        <v>422</v>
      </c>
      <c r="I23" s="3" t="s">
        <v>468</v>
      </c>
      <c r="J23" s="3">
        <f t="shared" si="4"/>
        <v>6</v>
      </c>
      <c r="K23" s="3">
        <f t="shared" si="6"/>
        <v>0</v>
      </c>
      <c r="L23" s="3">
        <f t="shared" si="0"/>
        <v>0</v>
      </c>
      <c r="N23" s="4"/>
      <c r="O23" s="4"/>
      <c r="P23" s="4"/>
      <c r="Q23" s="57"/>
      <c r="R23" s="24">
        <f t="shared" si="8"/>
        <v>37</v>
      </c>
      <c r="S23" s="24">
        <f t="shared" si="11"/>
        <v>17</v>
      </c>
      <c r="T23" s="191">
        <f t="shared" si="9"/>
        <v>53</v>
      </c>
      <c r="U23" s="24" t="str">
        <f t="shared" si="10"/>
        <v>RWA</v>
      </c>
      <c r="V23" s="52">
        <f>IF(U23="-","-",VLOOKUP(U23,'historical data'!$E$4:$K$171,3,FALSE))</f>
        <v>70.4200904993138</v>
      </c>
      <c r="W23">
        <f t="shared" si="7"/>
        <v>19</v>
      </c>
      <c r="X23" s="24" t="str">
        <f t="shared" si="2"/>
        <v>RFR</v>
      </c>
      <c r="Y23" s="52">
        <f t="shared" si="3"/>
        <v>67.6129163666785</v>
      </c>
      <c r="Z23" s="52">
        <f>IF(OR(X23='Your 2012 score'!$P$9,X23="Ave"),"",Y23)</f>
        <v>67.6129163666785</v>
      </c>
      <c r="AA23" s="52">
        <f>IF(X23='Your 2012 score'!$P$9,Y23,"")</f>
      </c>
      <c r="AB23" s="52">
        <f t="shared" si="5"/>
      </c>
    </row>
    <row r="24" spans="1:28" ht="12.75">
      <c r="A24" s="26">
        <v>21</v>
      </c>
      <c r="B24" s="50" t="s">
        <v>82</v>
      </c>
      <c r="C24" s="50">
        <f t="shared" si="1"/>
        <v>21</v>
      </c>
      <c r="D24" s="23" t="s">
        <v>18</v>
      </c>
      <c r="E24" s="50" t="s">
        <v>168</v>
      </c>
      <c r="F24" s="3" t="s">
        <v>169</v>
      </c>
      <c r="G24" s="24" t="s">
        <v>413</v>
      </c>
      <c r="H24" s="3" t="s">
        <v>419</v>
      </c>
      <c r="I24" s="3" t="s">
        <v>467</v>
      </c>
      <c r="J24" s="3">
        <f t="shared" si="4"/>
        <v>6</v>
      </c>
      <c r="K24" s="3">
        <f t="shared" si="6"/>
        <v>0</v>
      </c>
      <c r="L24" s="3">
        <f t="shared" si="0"/>
        <v>0</v>
      </c>
      <c r="Q24" s="57"/>
      <c r="R24" s="24">
        <f t="shared" si="8"/>
        <v>15</v>
      </c>
      <c r="S24" s="24">
        <f t="shared" si="11"/>
        <v>18</v>
      </c>
      <c r="T24" s="191">
        <f t="shared" si="9"/>
        <v>61</v>
      </c>
      <c r="U24" s="24" t="str">
        <f t="shared" si="10"/>
        <v>RXN</v>
      </c>
      <c r="V24" s="52">
        <f>IF(U24="-","-",VLOOKUP(U24,'historical data'!$E$4:$K$171,3,FALSE))</f>
        <v>66.9767284748322</v>
      </c>
      <c r="W24">
        <f t="shared" si="7"/>
        <v>20</v>
      </c>
      <c r="X24" s="24" t="str">
        <f t="shared" si="2"/>
        <v>RXR</v>
      </c>
      <c r="Y24" s="52">
        <f t="shared" si="3"/>
        <v>68.0120855831481</v>
      </c>
      <c r="Z24" s="52">
        <f>IF(OR(X24='Your 2012 score'!$P$9,X24="Ave"),"",Y24)</f>
        <v>68.0120855831481</v>
      </c>
      <c r="AA24" s="52">
        <f>IF(X24='Your 2012 score'!$P$9,Y24,"")</f>
      </c>
      <c r="AB24" s="52">
        <f t="shared" si="5"/>
      </c>
    </row>
    <row r="25" spans="1:28" ht="12.75">
      <c r="A25" s="26">
        <v>22</v>
      </c>
      <c r="B25" s="50" t="s">
        <v>83</v>
      </c>
      <c r="C25" s="50">
        <f t="shared" si="1"/>
        <v>22</v>
      </c>
      <c r="D25" s="23" t="s">
        <v>58</v>
      </c>
      <c r="E25" s="50" t="s">
        <v>172</v>
      </c>
      <c r="F25" s="3" t="s">
        <v>173</v>
      </c>
      <c r="G25" s="24" t="s">
        <v>412</v>
      </c>
      <c r="H25" s="3" t="s">
        <v>417</v>
      </c>
      <c r="I25" s="3" t="s">
        <v>465</v>
      </c>
      <c r="J25" s="3">
        <f t="shared" si="4"/>
        <v>7</v>
      </c>
      <c r="K25" s="3">
        <f t="shared" si="6"/>
        <v>7</v>
      </c>
      <c r="L25" s="3">
        <f t="shared" si="0"/>
        <v>22</v>
      </c>
      <c r="Q25" s="57"/>
      <c r="R25" s="24">
        <f t="shared" si="8"/>
        <v>7</v>
      </c>
      <c r="S25" s="24">
        <f t="shared" si="11"/>
        <v>19</v>
      </c>
      <c r="T25" s="191">
        <f t="shared" si="9"/>
        <v>62</v>
      </c>
      <c r="U25" s="24" t="str">
        <f t="shared" si="10"/>
        <v>RR8</v>
      </c>
      <c r="V25" s="52">
        <f>IF(U25="-","-",VLOOKUP(U25,'historical data'!$E$4:$K$171,3,FALSE))</f>
        <v>65.5779480916414</v>
      </c>
      <c r="W25">
        <f t="shared" si="7"/>
        <v>21</v>
      </c>
      <c r="X25" s="24" t="str">
        <f t="shared" si="2"/>
        <v>RM2</v>
      </c>
      <c r="Y25" s="52">
        <f t="shared" si="3"/>
        <v>68.044186911257</v>
      </c>
      <c r="Z25" s="52">
        <f>IF(OR(X25='Your 2012 score'!$P$9,X25="Ave"),"",Y25)</f>
        <v>68.044186911257</v>
      </c>
      <c r="AA25" s="52">
        <f>IF(X25='Your 2012 score'!$P$9,Y25,"")</f>
      </c>
      <c r="AB25" s="52">
        <f t="shared" si="5"/>
      </c>
    </row>
    <row r="26" spans="1:28" ht="12.75">
      <c r="A26" s="26">
        <v>23</v>
      </c>
      <c r="B26" s="50" t="s">
        <v>84</v>
      </c>
      <c r="C26" s="50">
        <f t="shared" si="1"/>
        <v>23</v>
      </c>
      <c r="D26" s="23" t="s">
        <v>19</v>
      </c>
      <c r="E26" s="50" t="s">
        <v>164</v>
      </c>
      <c r="F26" s="3" t="s">
        <v>165</v>
      </c>
      <c r="G26" s="24" t="s">
        <v>412</v>
      </c>
      <c r="H26" s="3" t="s">
        <v>416</v>
      </c>
      <c r="I26" s="3" t="s">
        <v>465</v>
      </c>
      <c r="J26" s="3">
        <f t="shared" si="4"/>
        <v>8</v>
      </c>
      <c r="K26" s="3">
        <f t="shared" si="6"/>
        <v>8</v>
      </c>
      <c r="L26" s="3">
        <f t="shared" si="0"/>
        <v>23</v>
      </c>
      <c r="Q26" s="57"/>
      <c r="R26" s="24">
        <f t="shared" si="8"/>
        <v>47</v>
      </c>
      <c r="S26" s="24">
        <f t="shared" si="11"/>
        <v>20</v>
      </c>
      <c r="T26" s="191">
        <f t="shared" si="9"/>
        <v>63</v>
      </c>
      <c r="U26" s="24" t="str">
        <f t="shared" si="10"/>
        <v>RBQ</v>
      </c>
      <c r="V26" s="52">
        <f>IF(U26="-","-",VLOOKUP(U26,'historical data'!$E$4:$K$171,3,FALSE))</f>
        <v>78.255718822455</v>
      </c>
      <c r="W26">
        <f t="shared" si="7"/>
        <v>22</v>
      </c>
      <c r="X26" s="24" t="str">
        <f t="shared" si="2"/>
        <v>RRF</v>
      </c>
      <c r="Y26" s="52">
        <f t="shared" si="3"/>
        <v>68.3910765174098</v>
      </c>
      <c r="Z26" s="52">
        <f>IF(OR(X26='Your 2012 score'!$P$9,X26="Ave"),"",Y26)</f>
        <v>68.3910765174098</v>
      </c>
      <c r="AA26" s="52">
        <f>IF(X26='Your 2012 score'!$P$9,Y26,"")</f>
      </c>
      <c r="AB26" s="52">
        <f t="shared" si="5"/>
      </c>
    </row>
    <row r="27" spans="1:28" ht="12.75">
      <c r="A27" s="26">
        <v>24</v>
      </c>
      <c r="B27" s="50" t="s">
        <v>85</v>
      </c>
      <c r="C27" s="50">
        <f t="shared" si="1"/>
        <v>24</v>
      </c>
      <c r="D27" s="23" t="s">
        <v>59</v>
      </c>
      <c r="E27" s="50" t="s">
        <v>172</v>
      </c>
      <c r="F27" s="3" t="s">
        <v>173</v>
      </c>
      <c r="G27" s="24" t="s">
        <v>412</v>
      </c>
      <c r="H27" s="3" t="s">
        <v>417</v>
      </c>
      <c r="I27" s="3" t="s">
        <v>465</v>
      </c>
      <c r="J27" s="3">
        <f t="shared" si="4"/>
        <v>9</v>
      </c>
      <c r="K27" s="3">
        <f t="shared" si="6"/>
        <v>9</v>
      </c>
      <c r="L27" s="3">
        <f t="shared" si="0"/>
        <v>24</v>
      </c>
      <c r="Q27" s="57"/>
      <c r="R27" s="24">
        <f t="shared" si="8"/>
        <v>46</v>
      </c>
      <c r="S27" s="24">
        <f t="shared" si="11"/>
        <v>21</v>
      </c>
      <c r="T27" s="191">
        <f t="shared" si="9"/>
        <v>64</v>
      </c>
      <c r="U27" s="24" t="str">
        <f t="shared" si="10"/>
        <v>REP</v>
      </c>
      <c r="V27" s="52">
        <f>IF(U27="-","-",VLOOKUP(U27,'historical data'!$E$4:$K$171,3,FALSE))</f>
        <v>77.5260859923876</v>
      </c>
      <c r="W27">
        <f t="shared" si="7"/>
        <v>23</v>
      </c>
      <c r="X27" s="24" t="str">
        <f t="shared" si="2"/>
        <v>RJL</v>
      </c>
      <c r="Y27" s="52">
        <f t="shared" si="3"/>
        <v>68.473525281413</v>
      </c>
      <c r="Z27" s="52">
        <f>IF(OR(X27='Your 2012 score'!$P$9,X27="Ave"),"",Y27)</f>
        <v>68.473525281413</v>
      </c>
      <c r="AA27" s="52">
        <f>IF(X27='Your 2012 score'!$P$9,Y27,"")</f>
      </c>
      <c r="AB27" s="52">
        <f t="shared" si="5"/>
      </c>
    </row>
    <row r="28" spans="1:28" ht="12.75">
      <c r="A28" s="26">
        <v>25</v>
      </c>
      <c r="B28" s="50" t="s">
        <v>92</v>
      </c>
      <c r="C28" s="50">
        <f t="shared" si="1"/>
        <v>25</v>
      </c>
      <c r="D28" s="23" t="s">
        <v>94</v>
      </c>
      <c r="E28" s="50" t="s">
        <v>168</v>
      </c>
      <c r="F28" s="3" t="s">
        <v>169</v>
      </c>
      <c r="G28" s="24" t="s">
        <v>413</v>
      </c>
      <c r="H28" s="3" t="s">
        <v>421</v>
      </c>
      <c r="I28" s="3" t="s">
        <v>467</v>
      </c>
      <c r="J28" s="3">
        <f t="shared" si="4"/>
        <v>9</v>
      </c>
      <c r="K28" s="3">
        <f t="shared" si="6"/>
        <v>0</v>
      </c>
      <c r="L28" s="3">
        <f t="shared" si="0"/>
        <v>0</v>
      </c>
      <c r="Q28" s="57"/>
      <c r="R28" s="24">
        <f t="shared" si="8"/>
        <v>12</v>
      </c>
      <c r="S28" s="24">
        <f t="shared" si="11"/>
        <v>22</v>
      </c>
      <c r="T28" s="191">
        <f t="shared" si="9"/>
        <v>70</v>
      </c>
      <c r="U28" s="24" t="str">
        <f t="shared" si="10"/>
        <v>RXF</v>
      </c>
      <c r="V28" s="52">
        <f>IF(U28="-","-",VLOOKUP(U28,'historical data'!$E$4:$K$171,3,FALSE))</f>
        <v>66.5242345158583</v>
      </c>
      <c r="W28">
        <f t="shared" si="7"/>
        <v>24</v>
      </c>
      <c r="X28" s="24" t="str">
        <f t="shared" si="2"/>
        <v>RXP</v>
      </c>
      <c r="Y28" s="52">
        <f t="shared" si="3"/>
        <v>68.5161326883974</v>
      </c>
      <c r="Z28" s="52">
        <f>IF(OR(X28='Your 2012 score'!$P$9,X28="Ave"),"",Y28)</f>
        <v>68.5161326883974</v>
      </c>
      <c r="AA28" s="52">
        <f>IF(X28='Your 2012 score'!$P$9,Y28,"")</f>
      </c>
      <c r="AB28" s="52">
        <f t="shared" si="5"/>
      </c>
    </row>
    <row r="29" spans="1:28" ht="12.75">
      <c r="A29" s="26">
        <v>26</v>
      </c>
      <c r="B29" s="50" t="s">
        <v>382</v>
      </c>
      <c r="C29" s="50">
        <f t="shared" si="1"/>
        <v>26</v>
      </c>
      <c r="D29" s="23" t="s">
        <v>50</v>
      </c>
      <c r="E29" s="50" t="s">
        <v>166</v>
      </c>
      <c r="F29" s="3" t="s">
        <v>167</v>
      </c>
      <c r="G29" s="24" t="s">
        <v>412</v>
      </c>
      <c r="H29" s="3" t="s">
        <v>417</v>
      </c>
      <c r="I29" s="3" t="s">
        <v>465</v>
      </c>
      <c r="J29" s="3">
        <f t="shared" si="4"/>
        <v>10</v>
      </c>
      <c r="K29" s="3">
        <f t="shared" si="6"/>
        <v>10</v>
      </c>
      <c r="L29" s="3">
        <f t="shared" si="0"/>
        <v>26</v>
      </c>
      <c r="R29" s="24">
        <f t="shared" si="8"/>
        <v>10</v>
      </c>
      <c r="S29" s="24">
        <f>S28+1</f>
        <v>23</v>
      </c>
      <c r="T29" s="191">
        <f t="shared" si="9"/>
        <v>74</v>
      </c>
      <c r="U29" s="24" t="str">
        <f t="shared" si="10"/>
        <v>RNL</v>
      </c>
      <c r="V29" s="52">
        <f>IF(U29="-","-",VLOOKUP(U29,'historical data'!$E$4:$K$171,3,FALSE))</f>
        <v>66.2311738697655</v>
      </c>
      <c r="W29">
        <f>W28+1</f>
        <v>25</v>
      </c>
      <c r="X29" s="24" t="str">
        <f aca="true" t="shared" si="12" ref="X29:X56">IF(ISERROR(VLOOKUP($W29,$R$5:$V$56,4,FALSE)),"-",VLOOKUP($W29,$R$5:$V$56,4,FALSE))</f>
        <v>REM</v>
      </c>
      <c r="Y29" s="52">
        <f aca="true" t="shared" si="13" ref="Y29:Y56">IF(ISERROR(VLOOKUP($W29,$R$5:$V$56,5,FALSE)),"-",VLOOKUP($W29,$R$5:$V$56,5,FALSE))</f>
        <v>68.5220736779702</v>
      </c>
      <c r="Z29" s="52">
        <f>IF(OR(X29='Your 2012 score'!$P$9,X29="Ave"),"",Y29)</f>
      </c>
      <c r="AA29" s="52">
        <f>IF(X29='Your 2012 score'!$P$9,Y29,"")</f>
        <v>68.5220736779702</v>
      </c>
      <c r="AB29" s="52">
        <f t="shared" si="5"/>
      </c>
    </row>
    <row r="30" spans="1:28" ht="12.75">
      <c r="A30" s="26">
        <v>27</v>
      </c>
      <c r="B30" s="50" t="s">
        <v>326</v>
      </c>
      <c r="C30" s="50">
        <f t="shared" si="1"/>
        <v>27</v>
      </c>
      <c r="D30" s="23" t="s">
        <v>112</v>
      </c>
      <c r="E30" s="50" t="s">
        <v>164</v>
      </c>
      <c r="F30" s="3" t="s">
        <v>165</v>
      </c>
      <c r="G30" s="24" t="s">
        <v>412</v>
      </c>
      <c r="H30" s="3" t="s">
        <v>416</v>
      </c>
      <c r="I30" s="3" t="s">
        <v>465</v>
      </c>
      <c r="J30" s="3">
        <f t="shared" si="4"/>
        <v>11</v>
      </c>
      <c r="K30" s="3">
        <f t="shared" si="6"/>
        <v>11</v>
      </c>
      <c r="L30" s="3">
        <f t="shared" si="0"/>
        <v>27</v>
      </c>
      <c r="R30" s="24">
        <f t="shared" si="8"/>
        <v>28</v>
      </c>
      <c r="S30" s="24">
        <f t="shared" si="11"/>
        <v>24</v>
      </c>
      <c r="T30" s="191">
        <f t="shared" si="9"/>
        <v>76</v>
      </c>
      <c r="U30" s="24" t="str">
        <f t="shared" si="10"/>
        <v>RVW</v>
      </c>
      <c r="V30" s="52">
        <f>IF(U30="-","-",VLOOKUP(U30,'historical data'!$E$4:$K$171,3,FALSE))</f>
        <v>68.7182412411462</v>
      </c>
      <c r="W30">
        <f t="shared" si="7"/>
        <v>26</v>
      </c>
      <c r="X30" s="24" t="str">
        <f t="shared" si="12"/>
        <v>RHQ</v>
      </c>
      <c r="Y30" s="52">
        <f t="shared" si="13"/>
        <v>68.5793857110996</v>
      </c>
      <c r="Z30" s="52">
        <f>IF(OR(X30='Your 2012 score'!$P$9,X30="Ave"),"",Y30)</f>
        <v>68.5793857110996</v>
      </c>
      <c r="AA30" s="52">
        <f>IF(X30='Your 2012 score'!$P$9,Y30,"")</f>
      </c>
      <c r="AB30" s="52">
        <f t="shared" si="5"/>
      </c>
    </row>
    <row r="31" spans="1:28" ht="12.75">
      <c r="A31" s="26">
        <v>28</v>
      </c>
      <c r="B31" s="50" t="s">
        <v>355</v>
      </c>
      <c r="C31" s="50">
        <f t="shared" si="1"/>
        <v>28</v>
      </c>
      <c r="D31" s="42" t="s">
        <v>226</v>
      </c>
      <c r="E31" s="50" t="s">
        <v>168</v>
      </c>
      <c r="F31" s="3" t="s">
        <v>169</v>
      </c>
      <c r="G31" s="24" t="s">
        <v>414</v>
      </c>
      <c r="H31" s="3" t="s">
        <v>422</v>
      </c>
      <c r="I31" s="3" t="s">
        <v>468</v>
      </c>
      <c r="J31" s="3">
        <f t="shared" si="4"/>
        <v>11</v>
      </c>
      <c r="K31" s="3">
        <f t="shared" si="6"/>
        <v>0</v>
      </c>
      <c r="L31" s="3">
        <f t="shared" si="0"/>
        <v>0</v>
      </c>
      <c r="R31" s="24">
        <f t="shared" si="8"/>
        <v>23</v>
      </c>
      <c r="S31" s="24">
        <f t="shared" si="11"/>
        <v>25</v>
      </c>
      <c r="T31" s="191">
        <f t="shared" si="9"/>
        <v>80</v>
      </c>
      <c r="U31" s="24" t="str">
        <f t="shared" si="10"/>
        <v>RJL</v>
      </c>
      <c r="V31" s="52">
        <f>IF(U31="-","-",VLOOKUP(U31,'historical data'!$E$4:$K$171,3,FALSE))</f>
        <v>68.473525281413</v>
      </c>
      <c r="W31">
        <f t="shared" si="7"/>
        <v>27</v>
      </c>
      <c r="X31" s="24" t="str">
        <f t="shared" si="12"/>
        <v>RBN</v>
      </c>
      <c r="Y31" s="52">
        <f t="shared" si="13"/>
        <v>68.7104717034565</v>
      </c>
      <c r="Z31" s="52">
        <f>IF(OR(X31='Your 2012 score'!$P$9,X31="Ave"),"",Y31)</f>
        <v>68.7104717034565</v>
      </c>
      <c r="AA31" s="52">
        <f>IF(X31='Your 2012 score'!$P$9,Y31,"")</f>
      </c>
      <c r="AB31" s="52">
        <f t="shared" si="5"/>
      </c>
    </row>
    <row r="32" spans="1:28" ht="12.75">
      <c r="A32" s="26">
        <v>29</v>
      </c>
      <c r="B32" s="50" t="s">
        <v>86</v>
      </c>
      <c r="C32" s="50">
        <f t="shared" si="1"/>
        <v>29</v>
      </c>
      <c r="D32" s="23" t="s">
        <v>120</v>
      </c>
      <c r="E32" s="50" t="s">
        <v>166</v>
      </c>
      <c r="F32" s="3" t="s">
        <v>167</v>
      </c>
      <c r="G32" s="24" t="s">
        <v>415</v>
      </c>
      <c r="H32" s="3" t="s">
        <v>423</v>
      </c>
      <c r="I32" s="3" t="s">
        <v>466</v>
      </c>
      <c r="J32" s="3">
        <f t="shared" si="4"/>
        <v>11</v>
      </c>
      <c r="K32" s="3">
        <f t="shared" si="6"/>
        <v>0</v>
      </c>
      <c r="L32" s="3">
        <f t="shared" si="0"/>
        <v>0</v>
      </c>
      <c r="R32" s="24">
        <f t="shared" si="8"/>
        <v>42</v>
      </c>
      <c r="S32" s="24">
        <f t="shared" si="11"/>
        <v>26</v>
      </c>
      <c r="T32" s="191">
        <f t="shared" si="9"/>
        <v>81</v>
      </c>
      <c r="U32" s="24" t="str">
        <f t="shared" si="10"/>
        <v>RTF</v>
      </c>
      <c r="V32" s="52">
        <f>IF(U32="-","-",VLOOKUP(U32,'historical data'!$E$4:$K$171,3,FALSE))</f>
        <v>71.6414923498492</v>
      </c>
      <c r="W32">
        <f t="shared" si="7"/>
        <v>28</v>
      </c>
      <c r="X32" s="24" t="str">
        <f t="shared" si="12"/>
        <v>RVW</v>
      </c>
      <c r="Y32" s="52">
        <f t="shared" si="13"/>
        <v>68.7182412411462</v>
      </c>
      <c r="Z32" s="52">
        <f>IF(OR(X32='Your 2012 score'!$P$9,X32="Ave"),"",Y32)</f>
        <v>68.7182412411462</v>
      </c>
      <c r="AA32" s="52">
        <f>IF(X32='Your 2012 score'!$P$9,Y32,"")</f>
      </c>
      <c r="AB32" s="52">
        <f t="shared" si="5"/>
      </c>
    </row>
    <row r="33" spans="1:28" ht="12.75">
      <c r="A33" s="26">
        <v>30</v>
      </c>
      <c r="B33" s="50" t="s">
        <v>364</v>
      </c>
      <c r="C33" s="50">
        <f t="shared" si="1"/>
        <v>30</v>
      </c>
      <c r="D33" s="23" t="s">
        <v>33</v>
      </c>
      <c r="E33" s="50" t="s">
        <v>164</v>
      </c>
      <c r="F33" s="3" t="s">
        <v>165</v>
      </c>
      <c r="G33" s="43" t="s">
        <v>413</v>
      </c>
      <c r="H33" s="3" t="s">
        <v>419</v>
      </c>
      <c r="I33" s="3" t="s">
        <v>467</v>
      </c>
      <c r="J33" s="3">
        <f t="shared" si="4"/>
        <v>11</v>
      </c>
      <c r="K33" s="3">
        <f t="shared" si="6"/>
        <v>0</v>
      </c>
      <c r="L33" s="3">
        <f t="shared" si="0"/>
        <v>0</v>
      </c>
      <c r="R33" s="24">
        <f t="shared" si="8"/>
        <v>9</v>
      </c>
      <c r="S33" s="24">
        <f t="shared" si="11"/>
        <v>27</v>
      </c>
      <c r="T33" s="191">
        <f t="shared" si="9"/>
        <v>85</v>
      </c>
      <c r="U33" s="24" t="str">
        <f t="shared" si="10"/>
        <v>RW6</v>
      </c>
      <c r="V33" s="52">
        <f>IF(U33="-","-",VLOOKUP(U33,'historical data'!$E$4:$K$171,3,FALSE))</f>
        <v>66.1336930255687</v>
      </c>
      <c r="W33">
        <f t="shared" si="7"/>
        <v>29</v>
      </c>
      <c r="X33" s="24" t="str">
        <f t="shared" si="12"/>
        <v>RMC</v>
      </c>
      <c r="Y33" s="52">
        <f t="shared" si="13"/>
        <v>68.8589414401575</v>
      </c>
      <c r="Z33" s="52">
        <f>IF(OR(X33='Your 2012 score'!$P$9,X33="Ave"),"",Y33)</f>
        <v>68.8589414401575</v>
      </c>
      <c r="AA33" s="52">
        <f>IF(X33='Your 2012 score'!$P$9,Y33,"")</f>
      </c>
      <c r="AB33" s="52">
        <f t="shared" si="5"/>
      </c>
    </row>
    <row r="34" spans="1:28" ht="12.75">
      <c r="A34" s="26">
        <v>31</v>
      </c>
      <c r="B34" s="50" t="s">
        <v>388</v>
      </c>
      <c r="C34" s="50">
        <f t="shared" si="1"/>
        <v>31</v>
      </c>
      <c r="D34" s="23" t="s">
        <v>51</v>
      </c>
      <c r="E34" s="50" t="s">
        <v>164</v>
      </c>
      <c r="F34" s="3" t="s">
        <v>165</v>
      </c>
      <c r="G34" s="24" t="s">
        <v>412</v>
      </c>
      <c r="H34" s="3" t="s">
        <v>418</v>
      </c>
      <c r="I34" s="3" t="s">
        <v>465</v>
      </c>
      <c r="J34" s="3">
        <f t="shared" si="4"/>
        <v>12</v>
      </c>
      <c r="K34" s="3">
        <f t="shared" si="6"/>
        <v>12</v>
      </c>
      <c r="L34" s="3">
        <f t="shared" si="0"/>
        <v>31</v>
      </c>
      <c r="R34" s="24">
        <f t="shared" si="8"/>
        <v>29</v>
      </c>
      <c r="S34" s="24">
        <f t="shared" si="11"/>
        <v>28</v>
      </c>
      <c r="T34" s="191">
        <f t="shared" si="9"/>
        <v>93</v>
      </c>
      <c r="U34" s="24" t="str">
        <f t="shared" si="10"/>
        <v>RMC</v>
      </c>
      <c r="V34" s="52">
        <f>IF(U34="-","-",VLOOKUP(U34,'historical data'!$E$4:$K$171,3,FALSE))</f>
        <v>68.8589414401575</v>
      </c>
      <c r="W34">
        <f t="shared" si="7"/>
        <v>30</v>
      </c>
      <c r="X34" s="24" t="str">
        <f t="shared" si="12"/>
        <v>RP5</v>
      </c>
      <c r="Y34" s="52">
        <f t="shared" si="13"/>
        <v>68.8629737002705</v>
      </c>
      <c r="Z34" s="52">
        <f>IF(OR(X34='Your 2012 score'!$P$9,X34="Ave"),"",Y34)</f>
        <v>68.8629737002705</v>
      </c>
      <c r="AA34" s="52">
        <f>IF(X34='Your 2012 score'!$P$9,Y34,"")</f>
      </c>
      <c r="AB34" s="52">
        <f t="shared" si="5"/>
      </c>
    </row>
    <row r="35" spans="1:28" ht="12.75">
      <c r="A35" s="26">
        <v>32</v>
      </c>
      <c r="B35" s="50" t="s">
        <v>321</v>
      </c>
      <c r="C35" s="50">
        <f t="shared" si="1"/>
        <v>32</v>
      </c>
      <c r="D35" s="23" t="s">
        <v>110</v>
      </c>
      <c r="E35" s="50" t="s">
        <v>166</v>
      </c>
      <c r="F35" s="3" t="s">
        <v>167</v>
      </c>
      <c r="G35" s="24" t="s">
        <v>415</v>
      </c>
      <c r="H35" s="3" t="s">
        <v>425</v>
      </c>
      <c r="I35" s="3" t="s">
        <v>466</v>
      </c>
      <c r="J35" s="3">
        <f t="shared" si="4"/>
        <v>12</v>
      </c>
      <c r="K35" s="3">
        <f t="shared" si="6"/>
        <v>0</v>
      </c>
      <c r="L35" s="3">
        <f t="shared" si="0"/>
        <v>0</v>
      </c>
      <c r="R35" s="24">
        <f t="shared" si="8"/>
        <v>41</v>
      </c>
      <c r="S35" s="24">
        <f t="shared" si="11"/>
        <v>29</v>
      </c>
      <c r="T35" s="191">
        <f t="shared" si="9"/>
        <v>99</v>
      </c>
      <c r="U35" s="24" t="str">
        <f t="shared" si="10"/>
        <v>RQ6</v>
      </c>
      <c r="V35" s="52">
        <f>IF(U35="-","-",VLOOKUP(U35,'historical data'!$E$4:$K$171,3,FALSE))</f>
        <v>71.5966764481236</v>
      </c>
      <c r="W35">
        <f t="shared" si="7"/>
        <v>31</v>
      </c>
      <c r="X35" s="24" t="str">
        <f t="shared" si="12"/>
        <v>RLN</v>
      </c>
      <c r="Y35" s="52">
        <f t="shared" si="13"/>
        <v>68.8692571281504</v>
      </c>
      <c r="Z35" s="52">
        <f>IF(OR(X35='Your 2012 score'!$P$9,X35="Ave"),"",Y35)</f>
        <v>68.8692571281504</v>
      </c>
      <c r="AA35" s="52">
        <f>IF(X35='Your 2012 score'!$P$9,Y35,"")</f>
      </c>
      <c r="AB35" s="52">
        <f>IF(X35="Ave",Y35,"")</f>
      </c>
    </row>
    <row r="36" spans="1:28" ht="12.75">
      <c r="A36" s="26">
        <v>33</v>
      </c>
      <c r="B36" s="50" t="s">
        <v>348</v>
      </c>
      <c r="C36" s="50">
        <f t="shared" si="1"/>
        <v>33</v>
      </c>
      <c r="D36" s="23" t="s">
        <v>252</v>
      </c>
      <c r="E36" s="50" t="s">
        <v>168</v>
      </c>
      <c r="F36" s="3" t="s">
        <v>169</v>
      </c>
      <c r="G36" s="24" t="s">
        <v>413</v>
      </c>
      <c r="H36" s="3" t="s">
        <v>420</v>
      </c>
      <c r="I36" s="3" t="s">
        <v>467</v>
      </c>
      <c r="J36" s="3">
        <f t="shared" si="4"/>
        <v>12</v>
      </c>
      <c r="K36" s="3">
        <f t="shared" si="6"/>
        <v>0</v>
      </c>
      <c r="L36" s="3">
        <f aca="true" t="shared" si="14" ref="L36:L67">IF(K36=0,0,C36)</f>
        <v>0</v>
      </c>
      <c r="R36" s="24">
        <f>IF(ISERROR(RANK(V36,$V$5:$V$56,1)),"-",RANK(V36,$V$5:$V$56,1))</f>
        <v>38</v>
      </c>
      <c r="S36" s="24">
        <f t="shared" si="11"/>
        <v>30</v>
      </c>
      <c r="T36" s="191">
        <f t="shared" si="9"/>
        <v>105</v>
      </c>
      <c r="U36" s="24" t="str">
        <f t="shared" si="10"/>
        <v>RM3</v>
      </c>
      <c r="V36" s="52">
        <f>IF(U36="-","-",VLOOKUP(U36,'historical data'!$E$4:$K$171,3,FALSE))</f>
        <v>70.600696946492</v>
      </c>
      <c r="W36">
        <f t="shared" si="7"/>
        <v>32</v>
      </c>
      <c r="X36" s="24" t="str">
        <f>IF(ISERROR(VLOOKUP($W36,$R$5:$V$56,4,FALSE)),"-",VLOOKUP($W36,$R$5:$V$56,4,FALSE))</f>
        <v>RJR</v>
      </c>
      <c r="Y36" s="52">
        <f>IF(ISERROR(VLOOKUP($W36,$R$5:$V$56,5,FALSE)),"-",VLOOKUP($W36,$R$5:$V$56,5,FALSE))</f>
        <v>68.8913514300983</v>
      </c>
      <c r="Z36" s="52">
        <f>IF(OR(X36='Your 2012 score'!$P$9,X36="Ave"),"",Y36)</f>
        <v>68.8913514300983</v>
      </c>
      <c r="AA36" s="52">
        <f>IF(X36='Your 2012 score'!$P$9,Y36,"")</f>
      </c>
      <c r="AB36" s="52">
        <f t="shared" si="5"/>
      </c>
    </row>
    <row r="37" spans="1:28" ht="12.75">
      <c r="A37" s="26">
        <v>34</v>
      </c>
      <c r="B37" s="50" t="s">
        <v>87</v>
      </c>
      <c r="C37" s="50">
        <f t="shared" si="1"/>
        <v>34</v>
      </c>
      <c r="D37" s="23" t="s">
        <v>121</v>
      </c>
      <c r="E37" s="50" t="s">
        <v>166</v>
      </c>
      <c r="F37" s="3" t="s">
        <v>167</v>
      </c>
      <c r="G37" s="24" t="s">
        <v>414</v>
      </c>
      <c r="H37" s="3" t="s">
        <v>422</v>
      </c>
      <c r="I37" s="3" t="s">
        <v>468</v>
      </c>
      <c r="J37" s="3">
        <f aca="true" t="shared" si="15" ref="J37:J68">IF($K$2=B37,J36,IF($N$2=I37,J36+1,J36))</f>
        <v>12</v>
      </c>
      <c r="K37" s="3">
        <f t="shared" si="6"/>
        <v>0</v>
      </c>
      <c r="L37" s="3">
        <f t="shared" si="14"/>
        <v>0</v>
      </c>
      <c r="R37" s="24">
        <f>IF(ISERROR(RANK(V37,$V$5:$V$56,1)),"-",RANK(V37,$V$5:$V$56,1))</f>
        <v>26</v>
      </c>
      <c r="S37" s="24">
        <f t="shared" si="11"/>
        <v>31</v>
      </c>
      <c r="T37" s="191">
        <f t="shared" si="9"/>
        <v>108</v>
      </c>
      <c r="U37" s="24" t="str">
        <f t="shared" si="10"/>
        <v>RHQ</v>
      </c>
      <c r="V37" s="52">
        <f>IF(U37="-","-",VLOOKUP(U37,'historical data'!$E$4:$K$171,3,FALSE))</f>
        <v>68.5793857110996</v>
      </c>
      <c r="W37">
        <f t="shared" si="7"/>
        <v>33</v>
      </c>
      <c r="X37" s="24" t="str">
        <f t="shared" si="12"/>
        <v>Ave</v>
      </c>
      <c r="Y37" s="52">
        <f t="shared" si="13"/>
        <v>69.05735926965043</v>
      </c>
      <c r="Z37" s="52">
        <f>IF(OR(X37='Your 2012 score'!$P$9,X37="Ave"),"",Y37)</f>
      </c>
      <c r="AA37" s="52">
        <f>IF(X37='Your 2012 score'!$P$9,Y37,"")</f>
      </c>
      <c r="AB37" s="52">
        <f t="shared" si="5"/>
        <v>69.05735926965043</v>
      </c>
    </row>
    <row r="38" spans="1:28" ht="12.75">
      <c r="A38" s="26">
        <v>35</v>
      </c>
      <c r="B38" s="50" t="s">
        <v>88</v>
      </c>
      <c r="C38" s="50">
        <f t="shared" si="1"/>
        <v>35</v>
      </c>
      <c r="D38" s="23" t="s">
        <v>122</v>
      </c>
      <c r="E38" s="50" t="s">
        <v>164</v>
      </c>
      <c r="F38" s="3" t="s">
        <v>165</v>
      </c>
      <c r="G38" s="24" t="s">
        <v>413</v>
      </c>
      <c r="H38" s="3" t="s">
        <v>421</v>
      </c>
      <c r="I38" s="3" t="s">
        <v>467</v>
      </c>
      <c r="J38" s="3">
        <f t="shared" si="15"/>
        <v>12</v>
      </c>
      <c r="K38" s="3">
        <f t="shared" si="6"/>
        <v>0</v>
      </c>
      <c r="L38" s="3">
        <f t="shared" si="14"/>
        <v>0</v>
      </c>
      <c r="R38" s="24">
        <f aca="true" t="shared" si="16" ref="R38:R56">IF(ISERROR(RANK(V38,$V$5:$V$56,1)),"-",RANK(V38,$V$5:$V$56,1))</f>
        <v>40</v>
      </c>
      <c r="S38" s="24">
        <f t="shared" si="11"/>
        <v>32</v>
      </c>
      <c r="T38" s="191">
        <f t="shared" si="9"/>
        <v>113</v>
      </c>
      <c r="U38" s="24" t="str">
        <f t="shared" si="10"/>
        <v>RTR</v>
      </c>
      <c r="V38" s="52">
        <f>IF(U38="-","-",VLOOKUP(U38,'historical data'!$E$4:$K$171,3,FALSE))</f>
        <v>71.2886687000631</v>
      </c>
      <c r="W38">
        <f t="shared" si="7"/>
        <v>34</v>
      </c>
      <c r="X38" s="24" t="str">
        <f t="shared" si="12"/>
        <v>RWY</v>
      </c>
      <c r="Y38" s="52">
        <f t="shared" si="13"/>
        <v>69.7294111655363</v>
      </c>
      <c r="Z38" s="52">
        <f>IF(OR(X38='Your 2012 score'!$P$9,X38="Ave"),"",Y38)</f>
        <v>69.7294111655363</v>
      </c>
      <c r="AA38" s="52">
        <f>IF(X38='Your 2012 score'!$P$9,Y38,"")</f>
      </c>
      <c r="AB38" s="52">
        <f t="shared" si="5"/>
      </c>
    </row>
    <row r="39" spans="1:28" ht="12.75">
      <c r="A39" s="26">
        <v>36</v>
      </c>
      <c r="B39" s="50" t="s">
        <v>89</v>
      </c>
      <c r="C39" s="50">
        <f t="shared" si="1"/>
        <v>36</v>
      </c>
      <c r="D39" s="23" t="s">
        <v>123</v>
      </c>
      <c r="E39" s="50" t="s">
        <v>166</v>
      </c>
      <c r="F39" s="3" t="s">
        <v>167</v>
      </c>
      <c r="G39" s="24" t="s">
        <v>412</v>
      </c>
      <c r="H39" s="3" t="s">
        <v>417</v>
      </c>
      <c r="I39" s="3" t="s">
        <v>465</v>
      </c>
      <c r="J39" s="3">
        <f t="shared" si="15"/>
        <v>13</v>
      </c>
      <c r="K39" s="3">
        <f t="shared" si="6"/>
        <v>13</v>
      </c>
      <c r="L39" s="3">
        <f t="shared" si="14"/>
        <v>36</v>
      </c>
      <c r="Q39" s="4"/>
      <c r="R39" s="24">
        <f t="shared" si="16"/>
        <v>11</v>
      </c>
      <c r="S39" s="24">
        <f>S38+1</f>
        <v>33</v>
      </c>
      <c r="T39" s="191">
        <f aca="true" t="shared" si="17" ref="T39:T56">IF(S39&lt;$O$2,VLOOKUP(S39,$K$4:$L$159,2,FALSE),"-")</f>
        <v>114</v>
      </c>
      <c r="U39" s="24" t="str">
        <f aca="true" t="shared" si="18" ref="U39:U56">IF(T39="-","-",VLOOKUP(T39,$A$4:$B$159,2,FALSE))</f>
        <v>RE9</v>
      </c>
      <c r="V39" s="52">
        <f>IF(U39="-","-",VLOOKUP(U39,'historical data'!$E$4:$K$171,3,FALSE))</f>
        <v>66.3684021709617</v>
      </c>
      <c r="W39">
        <f>W38+1</f>
        <v>35</v>
      </c>
      <c r="X39" s="24" t="str">
        <f aca="true" t="shared" si="19" ref="X39:X48">IF(ISERROR(VLOOKUP($W39,$R$5:$V$56,4,FALSE)),"-",VLOOKUP($W39,$R$5:$V$56,4,FALSE))</f>
        <v>RR7</v>
      </c>
      <c r="Y39" s="52">
        <f aca="true" t="shared" si="20" ref="Y39:Y48">IF(ISERROR(VLOOKUP($W39,$R$5:$V$56,5,FALSE)),"-",VLOOKUP($W39,$R$5:$V$56,5,FALSE))</f>
        <v>70.3184807566351</v>
      </c>
      <c r="Z39" s="52">
        <f>IF(OR(X39='Your 2012 score'!$P$9,X39="Ave"),"",Y39)</f>
        <v>70.3184807566351</v>
      </c>
      <c r="AA39" s="52">
        <f>IF(X39='Your 2012 score'!$P$9,Y39,"")</f>
      </c>
      <c r="AB39" s="52">
        <f t="shared" si="5"/>
      </c>
    </row>
    <row r="40" spans="1:28" ht="12.75">
      <c r="A40" s="26">
        <v>37</v>
      </c>
      <c r="B40" s="50" t="s">
        <v>90</v>
      </c>
      <c r="C40" s="50">
        <f t="shared" si="1"/>
        <v>37</v>
      </c>
      <c r="D40" s="23" t="s">
        <v>60</v>
      </c>
      <c r="E40" s="50" t="s">
        <v>164</v>
      </c>
      <c r="F40" s="3" t="s">
        <v>165</v>
      </c>
      <c r="G40" s="24" t="s">
        <v>415</v>
      </c>
      <c r="H40" s="3" t="s">
        <v>423</v>
      </c>
      <c r="I40" s="3" t="s">
        <v>466</v>
      </c>
      <c r="J40" s="3">
        <f t="shared" si="15"/>
        <v>13</v>
      </c>
      <c r="K40" s="3">
        <f t="shared" si="6"/>
        <v>0</v>
      </c>
      <c r="L40" s="3">
        <f t="shared" si="14"/>
        <v>0</v>
      </c>
      <c r="Q40" s="4"/>
      <c r="R40" s="24">
        <f t="shared" si="16"/>
        <v>1</v>
      </c>
      <c r="S40" s="24">
        <f t="shared" si="11"/>
        <v>34</v>
      </c>
      <c r="T40" s="191">
        <f t="shared" si="17"/>
        <v>118</v>
      </c>
      <c r="U40" s="24" t="str">
        <f t="shared" si="18"/>
        <v>RVY</v>
      </c>
      <c r="V40" s="52">
        <f>IF(U40="-","-",VLOOKUP(U40,'historical data'!$E$4:$K$171,3,FALSE))</f>
        <v>62.1946754577409</v>
      </c>
      <c r="W40">
        <f t="shared" si="7"/>
        <v>36</v>
      </c>
      <c r="X40" s="24" t="str">
        <f t="shared" si="19"/>
        <v>RCB</v>
      </c>
      <c r="Y40" s="52">
        <f t="shared" si="20"/>
        <v>70.3930077029134</v>
      </c>
      <c r="Z40" s="52">
        <f>IF(OR(X40='Your 2012 score'!$P$9,X40="Ave"),"",Y40)</f>
        <v>70.3930077029134</v>
      </c>
      <c r="AA40" s="52">
        <f>IF(X40='Your 2012 score'!$P$9,Y40,"")</f>
      </c>
      <c r="AB40" s="52">
        <f t="shared" si="5"/>
      </c>
    </row>
    <row r="41" spans="1:28" ht="12.75">
      <c r="A41" s="26">
        <v>38</v>
      </c>
      <c r="B41" s="50" t="s">
        <v>335</v>
      </c>
      <c r="C41" s="50">
        <f t="shared" si="1"/>
        <v>38</v>
      </c>
      <c r="D41" s="23" t="s">
        <v>431</v>
      </c>
      <c r="E41" s="50" t="s">
        <v>164</v>
      </c>
      <c r="F41" s="3" t="s">
        <v>165</v>
      </c>
      <c r="G41" s="24" t="s">
        <v>412</v>
      </c>
      <c r="H41" s="3" t="s">
        <v>417</v>
      </c>
      <c r="I41" s="3" t="s">
        <v>465</v>
      </c>
      <c r="J41" s="3">
        <f t="shared" si="15"/>
        <v>14</v>
      </c>
      <c r="K41" s="3">
        <f t="shared" si="6"/>
        <v>14</v>
      </c>
      <c r="L41" s="3">
        <f t="shared" si="14"/>
        <v>38</v>
      </c>
      <c r="Q41" s="4"/>
      <c r="R41" s="24">
        <f t="shared" si="16"/>
        <v>27</v>
      </c>
      <c r="S41" s="24">
        <f t="shared" si="11"/>
        <v>35</v>
      </c>
      <c r="T41" s="191">
        <f t="shared" si="17"/>
        <v>120</v>
      </c>
      <c r="U41" s="24" t="str">
        <f t="shared" si="18"/>
        <v>RBN</v>
      </c>
      <c r="V41" s="52">
        <f>IF(U41="-","-",VLOOKUP(U41,'historical data'!$E$4:$K$171,3,FALSE))</f>
        <v>68.7104717034565</v>
      </c>
      <c r="W41">
        <f t="shared" si="7"/>
        <v>37</v>
      </c>
      <c r="X41" s="24" t="str">
        <f t="shared" si="19"/>
        <v>RWA</v>
      </c>
      <c r="Y41" s="52">
        <f t="shared" si="20"/>
        <v>70.4200904993138</v>
      </c>
      <c r="Z41" s="52">
        <f>IF(OR(X41='Your 2012 score'!$P$9,X41="Ave"),"",Y41)</f>
        <v>70.4200904993138</v>
      </c>
      <c r="AA41" s="52">
        <f>IF(X41='Your 2012 score'!$P$9,Y41,"")</f>
      </c>
      <c r="AB41" s="52">
        <f t="shared" si="5"/>
      </c>
    </row>
    <row r="42" spans="1:28" ht="12.75">
      <c r="A42" s="26">
        <v>39</v>
      </c>
      <c r="B42" s="50" t="s">
        <v>327</v>
      </c>
      <c r="C42" s="50">
        <f t="shared" si="1"/>
        <v>39</v>
      </c>
      <c r="D42" s="23" t="s">
        <v>212</v>
      </c>
      <c r="E42" s="50" t="s">
        <v>164</v>
      </c>
      <c r="F42" s="3" t="s">
        <v>165</v>
      </c>
      <c r="G42" s="24" t="s">
        <v>415</v>
      </c>
      <c r="H42" s="3" t="s">
        <v>423</v>
      </c>
      <c r="I42" s="3" t="s">
        <v>466</v>
      </c>
      <c r="J42" s="3">
        <f t="shared" si="15"/>
        <v>14</v>
      </c>
      <c r="K42" s="3">
        <f t="shared" si="6"/>
        <v>0</v>
      </c>
      <c r="L42" s="3">
        <f t="shared" si="14"/>
        <v>0</v>
      </c>
      <c r="Q42" s="4"/>
      <c r="R42" s="24">
        <f t="shared" si="16"/>
        <v>5</v>
      </c>
      <c r="S42" s="24">
        <f t="shared" si="11"/>
        <v>36</v>
      </c>
      <c r="T42" s="191">
        <f t="shared" si="17"/>
        <v>121</v>
      </c>
      <c r="U42" s="24" t="str">
        <f t="shared" si="18"/>
        <v>RWJ</v>
      </c>
      <c r="V42" s="52">
        <f>IF(U42="-","-",VLOOKUP(U42,'historical data'!$E$4:$K$171,3,FALSE))</f>
        <v>63.2748203494433</v>
      </c>
      <c r="W42">
        <f t="shared" si="7"/>
        <v>38</v>
      </c>
      <c r="X42" s="24" t="str">
        <f t="shared" si="19"/>
        <v>RM3</v>
      </c>
      <c r="Y42" s="52">
        <f t="shared" si="20"/>
        <v>70.600696946492</v>
      </c>
      <c r="Z42" s="52">
        <f>IF(OR(X42='Your 2012 score'!$P$9,X42="Ave"),"",Y42)</f>
        <v>70.600696946492</v>
      </c>
      <c r="AA42" s="52">
        <f>IF(X42='Your 2012 score'!$P$9,Y42,"")</f>
      </c>
      <c r="AB42" s="52">
        <f t="shared" si="5"/>
      </c>
    </row>
    <row r="43" spans="1:28" ht="12.75">
      <c r="A43" s="26">
        <v>40</v>
      </c>
      <c r="B43" s="50" t="s">
        <v>406</v>
      </c>
      <c r="C43" s="50">
        <f t="shared" si="1"/>
        <v>40</v>
      </c>
      <c r="D43" s="23" t="s">
        <v>70</v>
      </c>
      <c r="E43" s="50" t="s">
        <v>164</v>
      </c>
      <c r="F43" s="3" t="s">
        <v>165</v>
      </c>
      <c r="G43" s="24" t="s">
        <v>414</v>
      </c>
      <c r="H43" s="3" t="s">
        <v>422</v>
      </c>
      <c r="I43" s="3" t="s">
        <v>468</v>
      </c>
      <c r="J43" s="3">
        <f t="shared" si="15"/>
        <v>14</v>
      </c>
      <c r="K43" s="3">
        <f t="shared" si="6"/>
        <v>0</v>
      </c>
      <c r="L43" s="3">
        <f t="shared" si="14"/>
        <v>0</v>
      </c>
      <c r="Q43" s="4"/>
      <c r="R43" s="24">
        <f t="shared" si="16"/>
        <v>3</v>
      </c>
      <c r="S43" s="24">
        <f t="shared" si="11"/>
        <v>37</v>
      </c>
      <c r="T43" s="191">
        <f t="shared" si="17"/>
        <v>123</v>
      </c>
      <c r="U43" s="24" t="str">
        <f t="shared" si="18"/>
        <v>RMP</v>
      </c>
      <c r="V43" s="52">
        <f>IF(U43="-","-",VLOOKUP(U43,'historical data'!$E$4:$K$171,3,FALSE))</f>
        <v>62.8387806943181</v>
      </c>
      <c r="W43">
        <f t="shared" si="7"/>
        <v>39</v>
      </c>
      <c r="X43" s="24" t="str">
        <f t="shared" si="19"/>
        <v>RBL</v>
      </c>
      <c r="Y43" s="52">
        <f t="shared" si="20"/>
        <v>71.1612822646633</v>
      </c>
      <c r="Z43" s="52">
        <f>IF(OR(X43='Your 2012 score'!$P$9,X43="Ave"),"",Y43)</f>
        <v>71.1612822646633</v>
      </c>
      <c r="AA43" s="52">
        <f>IF(X43='Your 2012 score'!$P$9,Y43,"")</f>
      </c>
      <c r="AB43" s="52">
        <f t="shared" si="5"/>
      </c>
    </row>
    <row r="44" spans="1:28" ht="12.75">
      <c r="A44" s="26">
        <v>41</v>
      </c>
      <c r="B44" s="50" t="s">
        <v>371</v>
      </c>
      <c r="C44" s="50">
        <f t="shared" si="1"/>
        <v>41</v>
      </c>
      <c r="D44" s="23" t="s">
        <v>37</v>
      </c>
      <c r="E44" s="50" t="s">
        <v>168</v>
      </c>
      <c r="F44" s="3" t="s">
        <v>169</v>
      </c>
      <c r="G44" s="24" t="s">
        <v>415</v>
      </c>
      <c r="H44" s="3" t="s">
        <v>423</v>
      </c>
      <c r="I44" s="3" t="s">
        <v>466</v>
      </c>
      <c r="J44" s="3">
        <f t="shared" si="15"/>
        <v>14</v>
      </c>
      <c r="K44" s="3">
        <f t="shared" si="6"/>
        <v>0</v>
      </c>
      <c r="L44" s="3">
        <f t="shared" si="14"/>
        <v>0</v>
      </c>
      <c r="Q44" s="4"/>
      <c r="R44" s="24">
        <f t="shared" si="16"/>
        <v>6</v>
      </c>
      <c r="S44" s="24">
        <f t="shared" si="11"/>
        <v>38</v>
      </c>
      <c r="T44" s="191">
        <f t="shared" si="17"/>
        <v>127</v>
      </c>
      <c r="U44" s="24" t="str">
        <f t="shared" si="18"/>
        <v>RBT</v>
      </c>
      <c r="V44" s="52">
        <f>IF(U44="-","-",VLOOKUP(U44,'historical data'!$E$4:$K$171,3,FALSE))</f>
        <v>64.1775261961956</v>
      </c>
      <c r="W44">
        <f t="shared" si="7"/>
        <v>40</v>
      </c>
      <c r="X44" s="24" t="str">
        <f t="shared" si="19"/>
        <v>RTR</v>
      </c>
      <c r="Y44" s="52">
        <f t="shared" si="20"/>
        <v>71.2886687000631</v>
      </c>
      <c r="Z44" s="52">
        <f>IF(OR(X44='Your 2012 score'!$P$9,X44="Ave"),"",Y44)</f>
        <v>71.2886687000631</v>
      </c>
      <c r="AA44" s="52">
        <f>IF(X44='Your 2012 score'!$P$9,Y44,"")</f>
      </c>
      <c r="AB44" s="52">
        <f t="shared" si="5"/>
      </c>
    </row>
    <row r="45" spans="1:28" ht="12.75">
      <c r="A45" s="26">
        <v>42</v>
      </c>
      <c r="B45" s="50" t="s">
        <v>367</v>
      </c>
      <c r="C45" s="50">
        <f t="shared" si="1"/>
        <v>42</v>
      </c>
      <c r="D45" s="23" t="s">
        <v>34</v>
      </c>
      <c r="E45" s="50" t="s">
        <v>168</v>
      </c>
      <c r="F45" s="3" t="s">
        <v>169</v>
      </c>
      <c r="G45" s="24" t="s">
        <v>412</v>
      </c>
      <c r="H45" s="3" t="s">
        <v>416</v>
      </c>
      <c r="I45" s="3" t="s">
        <v>465</v>
      </c>
      <c r="J45" s="3">
        <f t="shared" si="15"/>
        <v>15</v>
      </c>
      <c r="K45" s="3">
        <f t="shared" si="6"/>
        <v>15</v>
      </c>
      <c r="L45" s="3">
        <f t="shared" si="14"/>
        <v>42</v>
      </c>
      <c r="Q45" s="4"/>
      <c r="R45" s="24">
        <f t="shared" si="16"/>
        <v>45</v>
      </c>
      <c r="S45" s="24">
        <f t="shared" si="11"/>
        <v>39</v>
      </c>
      <c r="T45" s="191">
        <f t="shared" si="17"/>
        <v>128</v>
      </c>
      <c r="U45" s="24" t="str">
        <f t="shared" si="18"/>
        <v>RTD</v>
      </c>
      <c r="V45" s="52">
        <f>IF(U45="-","-",VLOOKUP(U45,'historical data'!$E$4:$K$171,3,FALSE))</f>
        <v>74.2258946611975</v>
      </c>
      <c r="W45">
        <f t="shared" si="7"/>
        <v>41</v>
      </c>
      <c r="X45" s="24" t="str">
        <f t="shared" si="19"/>
        <v>RQ6</v>
      </c>
      <c r="Y45" s="52">
        <f t="shared" si="20"/>
        <v>71.5966764481236</v>
      </c>
      <c r="Z45" s="52">
        <f>IF(OR(X45='Your 2012 score'!$P$9,X45="Ave"),"",Y45)</f>
        <v>71.5966764481236</v>
      </c>
      <c r="AA45" s="52">
        <f>IF(X45='Your 2012 score'!$P$9,Y45,"")</f>
      </c>
      <c r="AB45" s="52">
        <f t="shared" si="5"/>
      </c>
    </row>
    <row r="46" spans="1:28" ht="12.75">
      <c r="A46" s="26">
        <v>43</v>
      </c>
      <c r="B46" s="50" t="s">
        <v>93</v>
      </c>
      <c r="C46" s="50">
        <f t="shared" si="1"/>
        <v>43</v>
      </c>
      <c r="D46" s="23" t="s">
        <v>124</v>
      </c>
      <c r="E46" s="50" t="s">
        <v>166</v>
      </c>
      <c r="F46" s="3" t="s">
        <v>167</v>
      </c>
      <c r="G46" s="24" t="s">
        <v>413</v>
      </c>
      <c r="H46" s="3" t="s">
        <v>420</v>
      </c>
      <c r="I46" s="3" t="s">
        <v>467</v>
      </c>
      <c r="J46" s="3">
        <f t="shared" si="15"/>
        <v>15</v>
      </c>
      <c r="K46" s="3">
        <f t="shared" si="6"/>
        <v>0</v>
      </c>
      <c r="L46" s="3">
        <f t="shared" si="14"/>
        <v>0</v>
      </c>
      <c r="Q46" s="4"/>
      <c r="R46" s="24">
        <f t="shared" si="16"/>
        <v>19</v>
      </c>
      <c r="S46" s="24">
        <f t="shared" si="11"/>
        <v>40</v>
      </c>
      <c r="T46" s="191">
        <f t="shared" si="17"/>
        <v>131</v>
      </c>
      <c r="U46" s="24" t="str">
        <f t="shared" si="18"/>
        <v>RFR</v>
      </c>
      <c r="V46" s="52">
        <f>IF(U46="-","-",VLOOKUP(U46,'historical data'!$E$4:$K$171,3,FALSE))</f>
        <v>67.6129163666785</v>
      </c>
      <c r="W46">
        <f t="shared" si="7"/>
        <v>42</v>
      </c>
      <c r="X46" s="24" t="str">
        <f t="shared" si="19"/>
        <v>RTF</v>
      </c>
      <c r="Y46" s="52">
        <f t="shared" si="20"/>
        <v>71.6414923498492</v>
      </c>
      <c r="Z46" s="52">
        <f>IF(OR(X46='Your 2012 score'!$P$9,X46="Ave"),"",Y46)</f>
        <v>71.6414923498492</v>
      </c>
      <c r="AA46" s="52">
        <f>IF(X46='Your 2012 score'!$P$9,Y46,"")</f>
      </c>
      <c r="AB46" s="52">
        <f t="shared" si="5"/>
      </c>
    </row>
    <row r="47" spans="1:28" ht="12.75">
      <c r="A47" s="26">
        <v>44</v>
      </c>
      <c r="B47" s="50" t="s">
        <v>333</v>
      </c>
      <c r="C47" s="50">
        <f t="shared" si="1"/>
        <v>44</v>
      </c>
      <c r="D47" s="23" t="s">
        <v>243</v>
      </c>
      <c r="E47" s="50" t="s">
        <v>164</v>
      </c>
      <c r="F47" s="3" t="s">
        <v>165</v>
      </c>
      <c r="G47" s="24" t="s">
        <v>415</v>
      </c>
      <c r="H47" s="3" t="s">
        <v>425</v>
      </c>
      <c r="I47" s="3" t="s">
        <v>466</v>
      </c>
      <c r="J47" s="3">
        <f t="shared" si="15"/>
        <v>15</v>
      </c>
      <c r="K47" s="3">
        <f t="shared" si="6"/>
        <v>0</v>
      </c>
      <c r="L47" s="3">
        <f t="shared" si="14"/>
        <v>0</v>
      </c>
      <c r="Q47" s="4"/>
      <c r="R47" s="24">
        <f t="shared" si="16"/>
        <v>21</v>
      </c>
      <c r="S47" s="24">
        <f t="shared" si="11"/>
        <v>41</v>
      </c>
      <c r="T47" s="191">
        <f t="shared" si="17"/>
        <v>139</v>
      </c>
      <c r="U47" s="24" t="str">
        <f t="shared" si="18"/>
        <v>RM2</v>
      </c>
      <c r="V47" s="52">
        <f>IF(U47="-","-",VLOOKUP(U47,'historical data'!$E$4:$K$171,3,FALSE))</f>
        <v>68.044186911257</v>
      </c>
      <c r="W47">
        <f t="shared" si="7"/>
        <v>43</v>
      </c>
      <c r="X47" s="24" t="str">
        <f t="shared" si="19"/>
        <v>RET</v>
      </c>
      <c r="Y47" s="52">
        <f t="shared" si="20"/>
        <v>71.7648368762856</v>
      </c>
      <c r="Z47" s="52">
        <f>IF(OR(X47='Your 2012 score'!$P$9,X47="Ave"),"",Y47)</f>
        <v>71.7648368762856</v>
      </c>
      <c r="AA47" s="52">
        <f>IF(X47='Your 2012 score'!$P$9,Y47,"")</f>
      </c>
      <c r="AB47" s="52">
        <f t="shared" si="5"/>
      </c>
    </row>
    <row r="48" spans="1:28" ht="12.75">
      <c r="A48" s="26">
        <v>45</v>
      </c>
      <c r="B48" s="50" t="s">
        <v>338</v>
      </c>
      <c r="C48" s="50">
        <f t="shared" si="1"/>
        <v>45</v>
      </c>
      <c r="D48" s="23" t="s">
        <v>248</v>
      </c>
      <c r="E48" s="50" t="s">
        <v>168</v>
      </c>
      <c r="F48" s="3" t="s">
        <v>169</v>
      </c>
      <c r="G48" s="24" t="s">
        <v>415</v>
      </c>
      <c r="H48" s="3" t="s">
        <v>425</v>
      </c>
      <c r="I48" s="3" t="s">
        <v>466</v>
      </c>
      <c r="J48" s="3">
        <f t="shared" si="15"/>
        <v>15</v>
      </c>
      <c r="K48" s="3">
        <f t="shared" si="6"/>
        <v>0</v>
      </c>
      <c r="L48" s="3">
        <f t="shared" si="14"/>
        <v>0</v>
      </c>
      <c r="Q48" s="4"/>
      <c r="R48" s="24">
        <f t="shared" si="16"/>
        <v>13</v>
      </c>
      <c r="S48" s="24">
        <f t="shared" si="11"/>
        <v>42</v>
      </c>
      <c r="T48" s="191">
        <f t="shared" si="17"/>
        <v>143</v>
      </c>
      <c r="U48" s="24" t="str">
        <f t="shared" si="18"/>
        <v>RTX</v>
      </c>
      <c r="V48" s="52">
        <f>IF(U48="-","-",VLOOKUP(U48,'historical data'!$E$4:$K$171,3,FALSE))</f>
        <v>66.6093227391906</v>
      </c>
      <c r="W48">
        <f t="shared" si="7"/>
        <v>44</v>
      </c>
      <c r="X48" s="24" t="str">
        <f t="shared" si="19"/>
        <v>RCD</v>
      </c>
      <c r="Y48" s="52">
        <f t="shared" si="20"/>
        <v>71.7664984545867</v>
      </c>
      <c r="Z48" s="52">
        <f>IF(OR(X48='Your 2012 score'!$P$9,X48="Ave"),"",Y48)</f>
        <v>71.7664984545867</v>
      </c>
      <c r="AA48" s="52">
        <f>IF(X48='Your 2012 score'!$P$9,Y48,"")</f>
      </c>
      <c r="AB48" s="52">
        <f t="shared" si="5"/>
      </c>
    </row>
    <row r="49" spans="1:28" ht="12.75">
      <c r="A49" s="26">
        <v>46</v>
      </c>
      <c r="B49" s="50" t="s">
        <v>350</v>
      </c>
      <c r="C49" s="50">
        <f t="shared" si="1"/>
        <v>46</v>
      </c>
      <c r="D49" s="23" t="s">
        <v>31</v>
      </c>
      <c r="E49" s="50" t="s">
        <v>170</v>
      </c>
      <c r="F49" s="3" t="s">
        <v>171</v>
      </c>
      <c r="G49" s="24" t="s">
        <v>414</v>
      </c>
      <c r="H49" s="3" t="s">
        <v>422</v>
      </c>
      <c r="I49" s="3" t="s">
        <v>468</v>
      </c>
      <c r="J49" s="3">
        <f t="shared" si="15"/>
        <v>15</v>
      </c>
      <c r="K49" s="3">
        <f t="shared" si="6"/>
        <v>0</v>
      </c>
      <c r="L49" s="3">
        <f t="shared" si="14"/>
        <v>0</v>
      </c>
      <c r="R49" s="24">
        <f t="shared" si="16"/>
        <v>43</v>
      </c>
      <c r="S49" s="24">
        <f>S48+1</f>
        <v>43</v>
      </c>
      <c r="T49" s="191">
        <f t="shared" si="17"/>
        <v>145</v>
      </c>
      <c r="U49" s="24" t="str">
        <f t="shared" si="18"/>
        <v>RET</v>
      </c>
      <c r="V49" s="52">
        <f>IF(U49="-","-",VLOOKUP(U49,'historical data'!$E$4:$K$171,3,FALSE))</f>
        <v>71.7648368762856</v>
      </c>
      <c r="W49">
        <f>W48+1</f>
        <v>45</v>
      </c>
      <c r="X49" s="24" t="str">
        <f t="shared" si="12"/>
        <v>RTD</v>
      </c>
      <c r="Y49" s="52">
        <f t="shared" si="13"/>
        <v>74.2258946611975</v>
      </c>
      <c r="Z49" s="52">
        <f>IF(OR(X49='Your 2012 score'!$P$9,X49="Ave"),"",Y49)</f>
        <v>74.2258946611975</v>
      </c>
      <c r="AA49" s="52">
        <f>IF(X49='Your 2012 score'!$P$9,Y49,"")</f>
      </c>
      <c r="AB49" s="52">
        <f t="shared" si="5"/>
      </c>
    </row>
    <row r="50" spans="1:28" ht="12.75">
      <c r="A50" s="26">
        <v>47</v>
      </c>
      <c r="B50" s="50" t="s">
        <v>264</v>
      </c>
      <c r="C50" s="50">
        <f t="shared" si="1"/>
        <v>47</v>
      </c>
      <c r="D50" s="23" t="s">
        <v>21</v>
      </c>
      <c r="E50" s="50" t="s">
        <v>166</v>
      </c>
      <c r="F50" s="3" t="s">
        <v>167</v>
      </c>
      <c r="G50" s="24" t="s">
        <v>412</v>
      </c>
      <c r="H50" s="3" t="s">
        <v>418</v>
      </c>
      <c r="I50" s="3" t="s">
        <v>465</v>
      </c>
      <c r="J50" s="3">
        <f t="shared" si="15"/>
        <v>16</v>
      </c>
      <c r="K50" s="3">
        <f t="shared" si="6"/>
        <v>16</v>
      </c>
      <c r="L50" s="3">
        <f t="shared" si="14"/>
        <v>47</v>
      </c>
      <c r="R50" s="24">
        <f t="shared" si="16"/>
        <v>14</v>
      </c>
      <c r="S50" s="24">
        <f t="shared" si="11"/>
        <v>44</v>
      </c>
      <c r="T50" s="191">
        <f t="shared" si="17"/>
        <v>146</v>
      </c>
      <c r="U50" s="24" t="str">
        <f t="shared" si="18"/>
        <v>RWW</v>
      </c>
      <c r="V50" s="52">
        <f>IF(U50="-","-",VLOOKUP(U50,'historical data'!$E$4:$K$171,3,FALSE))</f>
        <v>66.6690344778668</v>
      </c>
      <c r="W50">
        <f t="shared" si="7"/>
        <v>46</v>
      </c>
      <c r="X50" s="24" t="str">
        <f t="shared" si="12"/>
        <v>REP</v>
      </c>
      <c r="Y50" s="52">
        <f t="shared" si="13"/>
        <v>77.5260859923876</v>
      </c>
      <c r="Z50" s="52">
        <f>IF(OR(X50='Your 2012 score'!$P$9,X50="Ave"),"",Y50)</f>
        <v>77.5260859923876</v>
      </c>
      <c r="AA50" s="52">
        <f>IF(X50='Your 2012 score'!$P$9,Y50,"")</f>
      </c>
      <c r="AB50" s="52">
        <f t="shared" si="5"/>
      </c>
    </row>
    <row r="51" spans="1:28" ht="12.75">
      <c r="A51" s="26">
        <v>48</v>
      </c>
      <c r="B51" s="50" t="s">
        <v>378</v>
      </c>
      <c r="C51" s="50">
        <f t="shared" si="1"/>
        <v>48</v>
      </c>
      <c r="D51" s="23" t="s">
        <v>49</v>
      </c>
      <c r="E51" s="50" t="s">
        <v>164</v>
      </c>
      <c r="F51" s="3" t="s">
        <v>165</v>
      </c>
      <c r="G51" s="24" t="s">
        <v>413</v>
      </c>
      <c r="H51" s="3" t="s">
        <v>420</v>
      </c>
      <c r="I51" s="3" t="s">
        <v>467</v>
      </c>
      <c r="J51" s="3">
        <f t="shared" si="15"/>
        <v>16</v>
      </c>
      <c r="K51" s="3">
        <f t="shared" si="6"/>
        <v>0</v>
      </c>
      <c r="L51" s="3">
        <f t="shared" si="14"/>
        <v>0</v>
      </c>
      <c r="R51" s="24">
        <f t="shared" si="16"/>
        <v>39</v>
      </c>
      <c r="S51" s="24">
        <f t="shared" si="11"/>
        <v>45</v>
      </c>
      <c r="T51" s="191">
        <f t="shared" si="17"/>
        <v>152</v>
      </c>
      <c r="U51" s="24" t="str">
        <f t="shared" si="18"/>
        <v>RBL</v>
      </c>
      <c r="V51" s="52">
        <f>IF(U51="-","-",VLOOKUP(U51,'historical data'!$E$4:$K$171,3,FALSE))</f>
        <v>71.1612822646633</v>
      </c>
      <c r="W51">
        <f t="shared" si="7"/>
        <v>47</v>
      </c>
      <c r="X51" s="24" t="str">
        <f t="shared" si="12"/>
        <v>RBQ</v>
      </c>
      <c r="Y51" s="52">
        <f t="shared" si="13"/>
        <v>78.255718822455</v>
      </c>
      <c r="Z51" s="52">
        <f>IF(OR(X51='Your 2012 score'!$P$9,X51="Ave"),"",Y51)</f>
        <v>78.255718822455</v>
      </c>
      <c r="AA51" s="52">
        <f>IF(X51='Your 2012 score'!$P$9,Y51,"")</f>
      </c>
      <c r="AB51" s="52">
        <f t="shared" si="5"/>
      </c>
    </row>
    <row r="52" spans="1:28" ht="12.75">
      <c r="A52" s="26">
        <v>49</v>
      </c>
      <c r="B52" s="50" t="s">
        <v>265</v>
      </c>
      <c r="C52" s="50">
        <f t="shared" si="1"/>
        <v>49</v>
      </c>
      <c r="D52" s="23" t="s">
        <v>95</v>
      </c>
      <c r="E52" s="50" t="s">
        <v>166</v>
      </c>
      <c r="F52" s="3" t="s">
        <v>167</v>
      </c>
      <c r="G52" s="24" t="s">
        <v>415</v>
      </c>
      <c r="H52" s="3" t="s">
        <v>424</v>
      </c>
      <c r="I52" s="3" t="s">
        <v>466</v>
      </c>
      <c r="J52" s="3">
        <f t="shared" si="15"/>
        <v>16</v>
      </c>
      <c r="K52" s="3">
        <f t="shared" si="6"/>
        <v>0</v>
      </c>
      <c r="L52" s="3">
        <f t="shared" si="14"/>
        <v>0</v>
      </c>
      <c r="R52" s="24">
        <f t="shared" si="16"/>
        <v>22</v>
      </c>
      <c r="S52" s="24">
        <f t="shared" si="11"/>
        <v>46</v>
      </c>
      <c r="T52" s="191">
        <f t="shared" si="17"/>
        <v>154</v>
      </c>
      <c r="U52" s="24" t="str">
        <f t="shared" si="18"/>
        <v>RRF</v>
      </c>
      <c r="V52" s="52">
        <f>IF(U52="-","-",VLOOKUP(U52,'historical data'!$E$4:$K$171,3,FALSE))</f>
        <v>68.3910765174098</v>
      </c>
      <c r="W52">
        <f t="shared" si="7"/>
        <v>48</v>
      </c>
      <c r="X52" s="24" t="str">
        <f t="shared" si="12"/>
        <v>RBV</v>
      </c>
      <c r="Y52" s="52">
        <f t="shared" si="13"/>
        <v>83.8547737875298</v>
      </c>
      <c r="Z52" s="52">
        <f>IF(OR(X52='Your 2012 score'!$P$9,X52="Ave"),"",Y52)</f>
        <v>83.8547737875298</v>
      </c>
      <c r="AA52" s="52">
        <f>IF(X52='Your 2012 score'!$P$9,Y52,"")</f>
      </c>
      <c r="AB52" s="52">
        <f t="shared" si="5"/>
      </c>
    </row>
    <row r="53" spans="1:28" ht="12.75">
      <c r="A53" s="26">
        <v>50</v>
      </c>
      <c r="B53" s="50" t="s">
        <v>266</v>
      </c>
      <c r="C53" s="50">
        <f t="shared" si="1"/>
        <v>50</v>
      </c>
      <c r="D53" s="23" t="s">
        <v>125</v>
      </c>
      <c r="E53" s="50" t="s">
        <v>166</v>
      </c>
      <c r="F53" s="3" t="s">
        <v>167</v>
      </c>
      <c r="G53" s="24" t="s">
        <v>413</v>
      </c>
      <c r="H53" s="3" t="s">
        <v>420</v>
      </c>
      <c r="I53" s="3" t="s">
        <v>467</v>
      </c>
      <c r="J53" s="3">
        <f t="shared" si="15"/>
        <v>16</v>
      </c>
      <c r="K53" s="3">
        <f t="shared" si="6"/>
        <v>0</v>
      </c>
      <c r="L53" s="3">
        <f t="shared" si="14"/>
        <v>0</v>
      </c>
      <c r="R53" s="24">
        <f t="shared" si="16"/>
        <v>36</v>
      </c>
      <c r="S53" s="24">
        <f t="shared" si="11"/>
        <v>47</v>
      </c>
      <c r="T53" s="191">
        <f t="shared" si="17"/>
        <v>156</v>
      </c>
      <c r="U53" s="24" t="str">
        <f t="shared" si="18"/>
        <v>RCB</v>
      </c>
      <c r="V53" s="52">
        <f>IF(U53="-","-",VLOOKUP(U53,'historical data'!$E$4:$K$171,3,FALSE))</f>
        <v>70.3930077029134</v>
      </c>
      <c r="W53">
        <f t="shared" si="7"/>
        <v>49</v>
      </c>
      <c r="X53" s="24" t="str">
        <f t="shared" si="12"/>
        <v>REN</v>
      </c>
      <c r="Y53" s="52">
        <f t="shared" si="13"/>
        <v>84.3633832094524</v>
      </c>
      <c r="Z53" s="52">
        <f>IF(OR(X53='Your 2012 score'!$P$9,X53="Ave"),"",Y53)</f>
        <v>84.3633832094524</v>
      </c>
      <c r="AA53" s="52">
        <f>IF(X53='Your 2012 score'!$P$9,Y53,"")</f>
      </c>
      <c r="AB53" s="52">
        <f t="shared" si="5"/>
      </c>
    </row>
    <row r="54" spans="1:28" ht="12.75">
      <c r="A54" s="26">
        <v>51</v>
      </c>
      <c r="B54" s="50" t="s">
        <v>391</v>
      </c>
      <c r="C54" s="50">
        <f t="shared" si="1"/>
        <v>51</v>
      </c>
      <c r="D54" s="23" t="s">
        <v>62</v>
      </c>
      <c r="E54" s="50" t="s">
        <v>166</v>
      </c>
      <c r="F54" s="3" t="s">
        <v>167</v>
      </c>
      <c r="G54" s="24" t="s">
        <v>413</v>
      </c>
      <c r="H54" s="3" t="s">
        <v>421</v>
      </c>
      <c r="I54" s="3" t="s">
        <v>467</v>
      </c>
      <c r="J54" s="3">
        <f t="shared" si="15"/>
        <v>16</v>
      </c>
      <c r="K54" s="3">
        <f t="shared" si="6"/>
        <v>0</v>
      </c>
      <c r="L54" s="3">
        <f t="shared" si="14"/>
        <v>0</v>
      </c>
      <c r="R54" s="24" t="str">
        <f t="shared" si="16"/>
        <v>-</v>
      </c>
      <c r="S54" s="24">
        <f t="shared" si="11"/>
        <v>48</v>
      </c>
      <c r="T54" s="191" t="str">
        <f t="shared" si="17"/>
        <v>-</v>
      </c>
      <c r="U54" s="24" t="str">
        <f t="shared" si="18"/>
        <v>-</v>
      </c>
      <c r="V54" s="52" t="str">
        <f>IF(U54="-","-",VLOOKUP(U54,'historical data'!$E$4:$K$171,3,FALSE))</f>
        <v>-</v>
      </c>
      <c r="W54">
        <f t="shared" si="7"/>
        <v>50</v>
      </c>
      <c r="X54" s="24" t="str">
        <f t="shared" si="12"/>
        <v>-</v>
      </c>
      <c r="Y54" s="52" t="str">
        <f t="shared" si="13"/>
        <v>-</v>
      </c>
      <c r="Z54" s="52" t="str">
        <f>IF(OR(X54='Your 2012 score'!$P$9,X54="Ave"),"",Y54)</f>
        <v>-</v>
      </c>
      <c r="AA54" s="52">
        <f>IF(X54='Your 2012 score'!$P$9,Y54,"")</f>
      </c>
      <c r="AB54" s="52">
        <f t="shared" si="5"/>
      </c>
    </row>
    <row r="55" spans="1:28" ht="12.75">
      <c r="A55" s="26">
        <v>52</v>
      </c>
      <c r="B55" s="50" t="s">
        <v>368</v>
      </c>
      <c r="C55" s="50">
        <f t="shared" si="1"/>
        <v>52</v>
      </c>
      <c r="D55" s="23" t="s">
        <v>35</v>
      </c>
      <c r="E55" s="50" t="s">
        <v>168</v>
      </c>
      <c r="F55" s="3" t="s">
        <v>169</v>
      </c>
      <c r="G55" s="24" t="s">
        <v>414</v>
      </c>
      <c r="H55" s="3" t="s">
        <v>422</v>
      </c>
      <c r="I55" s="3" t="s">
        <v>468</v>
      </c>
      <c r="J55" s="3">
        <f t="shared" si="15"/>
        <v>16</v>
      </c>
      <c r="K55" s="3">
        <f t="shared" si="6"/>
        <v>0</v>
      </c>
      <c r="L55" s="3">
        <f t="shared" si="14"/>
        <v>0</v>
      </c>
      <c r="R55" s="24" t="str">
        <f t="shared" si="16"/>
        <v>-</v>
      </c>
      <c r="S55" s="24">
        <f t="shared" si="11"/>
        <v>49</v>
      </c>
      <c r="T55" s="191" t="str">
        <f t="shared" si="17"/>
        <v>-</v>
      </c>
      <c r="U55" s="24" t="str">
        <f t="shared" si="18"/>
        <v>-</v>
      </c>
      <c r="V55" s="52" t="str">
        <f>IF(U55="-","-",VLOOKUP(U55,'historical data'!$E$4:$K$171,3,FALSE))</f>
        <v>-</v>
      </c>
      <c r="X55" s="24" t="str">
        <f t="shared" si="12"/>
        <v>-</v>
      </c>
      <c r="Y55" s="52" t="str">
        <f t="shared" si="13"/>
        <v>-</v>
      </c>
      <c r="Z55" s="52" t="str">
        <f>IF(OR(X55='Your 2012 score'!$P$9,X55="Ave"),"",Y55)</f>
        <v>-</v>
      </c>
      <c r="AA55" s="52">
        <f>IF(X55='Your 2012 score'!$P$9,Y55,"")</f>
      </c>
      <c r="AB55" s="52">
        <f t="shared" si="5"/>
      </c>
    </row>
    <row r="56" spans="1:28" ht="12.75">
      <c r="A56" s="26">
        <v>53</v>
      </c>
      <c r="B56" s="50" t="s">
        <v>268</v>
      </c>
      <c r="C56" s="50">
        <f t="shared" si="1"/>
        <v>53</v>
      </c>
      <c r="D56" s="23" t="s">
        <v>127</v>
      </c>
      <c r="E56" s="50" t="s">
        <v>164</v>
      </c>
      <c r="F56" s="3" t="s">
        <v>165</v>
      </c>
      <c r="G56" s="24" t="s">
        <v>412</v>
      </c>
      <c r="H56" s="3" t="s">
        <v>418</v>
      </c>
      <c r="I56" s="3" t="s">
        <v>465</v>
      </c>
      <c r="J56" s="3">
        <f t="shared" si="15"/>
        <v>17</v>
      </c>
      <c r="K56" s="3">
        <f t="shared" si="6"/>
        <v>17</v>
      </c>
      <c r="L56" s="3">
        <f t="shared" si="14"/>
        <v>53</v>
      </c>
      <c r="R56" s="24" t="str">
        <f t="shared" si="16"/>
        <v>-</v>
      </c>
      <c r="S56" s="24">
        <f t="shared" si="11"/>
        <v>50</v>
      </c>
      <c r="T56" s="191" t="str">
        <f t="shared" si="17"/>
        <v>-</v>
      </c>
      <c r="U56" s="24" t="str">
        <f t="shared" si="18"/>
        <v>-</v>
      </c>
      <c r="V56" s="52" t="str">
        <f>IF(U56="-","-",VLOOKUP(U56,'historical data'!$E$4:$K$171,3,FALSE))</f>
        <v>-</v>
      </c>
      <c r="X56" s="24" t="str">
        <f t="shared" si="12"/>
        <v>-</v>
      </c>
      <c r="Y56" s="52" t="str">
        <f t="shared" si="13"/>
        <v>-</v>
      </c>
      <c r="Z56" s="52" t="str">
        <f>IF(OR(X56='Your 2012 score'!$P$9,X56="Ave"),"",Y56)</f>
        <v>-</v>
      </c>
      <c r="AA56" s="52">
        <f>IF(X56='Your 2012 score'!$P$9,Y56,"")</f>
      </c>
      <c r="AB56" s="52">
        <f t="shared" si="5"/>
      </c>
    </row>
    <row r="57" spans="1:19" ht="12.75">
      <c r="A57" s="26">
        <v>54</v>
      </c>
      <c r="B57" s="50" t="s">
        <v>227</v>
      </c>
      <c r="C57" s="50">
        <f t="shared" si="1"/>
        <v>54</v>
      </c>
      <c r="D57" s="23" t="s">
        <v>228</v>
      </c>
      <c r="E57" s="50" t="s">
        <v>170</v>
      </c>
      <c r="F57" s="3" t="s">
        <v>171</v>
      </c>
      <c r="G57" s="24" t="s">
        <v>414</v>
      </c>
      <c r="H57" s="3" t="s">
        <v>422</v>
      </c>
      <c r="I57" s="3" t="s">
        <v>468</v>
      </c>
      <c r="J57" s="3">
        <f t="shared" si="15"/>
        <v>17</v>
      </c>
      <c r="K57" s="3">
        <f t="shared" si="6"/>
        <v>0</v>
      </c>
      <c r="L57" s="3">
        <f t="shared" si="14"/>
        <v>0</v>
      </c>
      <c r="S57" s="195"/>
    </row>
    <row r="58" spans="1:19" ht="12.75">
      <c r="A58" s="26">
        <v>55</v>
      </c>
      <c r="B58" s="50" t="s">
        <v>269</v>
      </c>
      <c r="C58" s="50">
        <f t="shared" si="1"/>
        <v>55</v>
      </c>
      <c r="D58" s="23" t="s">
        <v>128</v>
      </c>
      <c r="E58" s="50" t="s">
        <v>168</v>
      </c>
      <c r="F58" s="3" t="s">
        <v>169</v>
      </c>
      <c r="G58" s="24" t="s">
        <v>413</v>
      </c>
      <c r="H58" s="3" t="s">
        <v>421</v>
      </c>
      <c r="I58" s="3" t="s">
        <v>467</v>
      </c>
      <c r="J58" s="3">
        <f t="shared" si="15"/>
        <v>17</v>
      </c>
      <c r="K58" s="3">
        <f t="shared" si="6"/>
        <v>0</v>
      </c>
      <c r="L58" s="3">
        <f t="shared" si="14"/>
        <v>0</v>
      </c>
      <c r="R58" s="62"/>
      <c r="S58" s="195"/>
    </row>
    <row r="59" spans="1:19" ht="12.75">
      <c r="A59" s="26">
        <v>56</v>
      </c>
      <c r="B59" s="227" t="s">
        <v>441</v>
      </c>
      <c r="C59" s="50">
        <f t="shared" si="1"/>
        <v>56</v>
      </c>
      <c r="D59" s="23" t="s">
        <v>435</v>
      </c>
      <c r="E59" s="50" t="s">
        <v>174</v>
      </c>
      <c r="F59" s="3" t="s">
        <v>176</v>
      </c>
      <c r="G59" s="24" t="s">
        <v>415</v>
      </c>
      <c r="H59" s="3" t="s">
        <v>424</v>
      </c>
      <c r="I59" s="3" t="s">
        <v>466</v>
      </c>
      <c r="J59" s="3">
        <f t="shared" si="15"/>
        <v>17</v>
      </c>
      <c r="K59" s="3">
        <f t="shared" si="6"/>
        <v>0</v>
      </c>
      <c r="L59" s="3">
        <f t="shared" si="14"/>
        <v>0</v>
      </c>
      <c r="S59" s="195"/>
    </row>
    <row r="60" spans="1:12" ht="12.75">
      <c r="A60" s="26">
        <v>57</v>
      </c>
      <c r="B60" s="50" t="s">
        <v>344</v>
      </c>
      <c r="C60" s="50">
        <f t="shared" si="1"/>
        <v>57</v>
      </c>
      <c r="D60" s="23" t="s">
        <v>250</v>
      </c>
      <c r="E60" s="50" t="s">
        <v>166</v>
      </c>
      <c r="F60" s="3" t="s">
        <v>167</v>
      </c>
      <c r="G60" s="24" t="s">
        <v>413</v>
      </c>
      <c r="H60" s="3" t="s">
        <v>421</v>
      </c>
      <c r="I60" s="3" t="s">
        <v>467</v>
      </c>
      <c r="J60" s="3">
        <f t="shared" si="15"/>
        <v>17</v>
      </c>
      <c r="K60" s="3">
        <f t="shared" si="6"/>
        <v>0</v>
      </c>
      <c r="L60" s="3">
        <f t="shared" si="14"/>
        <v>0</v>
      </c>
    </row>
    <row r="61" spans="1:12" ht="12.75">
      <c r="A61" s="26">
        <v>58</v>
      </c>
      <c r="B61" s="50" t="s">
        <v>270</v>
      </c>
      <c r="C61" s="50">
        <f t="shared" si="1"/>
        <v>58</v>
      </c>
      <c r="D61" s="23" t="s">
        <v>129</v>
      </c>
      <c r="E61" s="50" t="s">
        <v>166</v>
      </c>
      <c r="F61" s="3" t="s">
        <v>167</v>
      </c>
      <c r="G61" s="24" t="s">
        <v>413</v>
      </c>
      <c r="H61" s="3" t="s">
        <v>419</v>
      </c>
      <c r="I61" s="3" t="s">
        <v>467</v>
      </c>
      <c r="J61" s="3">
        <f t="shared" si="15"/>
        <v>17</v>
      </c>
      <c r="K61" s="3">
        <f t="shared" si="6"/>
        <v>0</v>
      </c>
      <c r="L61" s="3">
        <f t="shared" si="14"/>
        <v>0</v>
      </c>
    </row>
    <row r="62" spans="1:12" ht="12.75">
      <c r="A62" s="26">
        <v>59</v>
      </c>
      <c r="B62" s="50" t="s">
        <v>271</v>
      </c>
      <c r="C62" s="50">
        <f t="shared" si="1"/>
        <v>59</v>
      </c>
      <c r="D62" s="23" t="s">
        <v>96</v>
      </c>
      <c r="E62" s="50" t="s">
        <v>170</v>
      </c>
      <c r="F62" s="3" t="s">
        <v>171</v>
      </c>
      <c r="G62" s="24" t="s">
        <v>414</v>
      </c>
      <c r="H62" s="3" t="s">
        <v>422</v>
      </c>
      <c r="I62" s="3" t="s">
        <v>468</v>
      </c>
      <c r="J62" s="3">
        <f t="shared" si="15"/>
        <v>17</v>
      </c>
      <c r="K62" s="3">
        <f t="shared" si="6"/>
        <v>0</v>
      </c>
      <c r="L62" s="3">
        <f t="shared" si="14"/>
        <v>0</v>
      </c>
    </row>
    <row r="63" spans="1:12" ht="12.75">
      <c r="A63" s="26">
        <v>60</v>
      </c>
      <c r="B63" s="50" t="s">
        <v>408</v>
      </c>
      <c r="C63" s="50">
        <f t="shared" si="1"/>
        <v>60</v>
      </c>
      <c r="D63" s="23" t="s">
        <v>72</v>
      </c>
      <c r="E63" s="50" t="s">
        <v>168</v>
      </c>
      <c r="F63" s="3" t="s">
        <v>169</v>
      </c>
      <c r="G63" s="24" t="s">
        <v>414</v>
      </c>
      <c r="H63" s="3" t="s">
        <v>422</v>
      </c>
      <c r="I63" s="3" t="s">
        <v>468</v>
      </c>
      <c r="J63" s="3">
        <f t="shared" si="15"/>
        <v>17</v>
      </c>
      <c r="K63" s="3">
        <f t="shared" si="6"/>
        <v>0</v>
      </c>
      <c r="L63" s="3">
        <f t="shared" si="14"/>
        <v>0</v>
      </c>
    </row>
    <row r="64" spans="1:12" ht="12.75">
      <c r="A64" s="26">
        <v>61</v>
      </c>
      <c r="B64" s="50" t="s">
        <v>328</v>
      </c>
      <c r="C64" s="50">
        <f t="shared" si="1"/>
        <v>61</v>
      </c>
      <c r="D64" s="23" t="s">
        <v>242</v>
      </c>
      <c r="E64" s="50" t="s">
        <v>170</v>
      </c>
      <c r="F64" s="3" t="s">
        <v>171</v>
      </c>
      <c r="G64" s="24" t="s">
        <v>412</v>
      </c>
      <c r="H64" s="3" t="s">
        <v>417</v>
      </c>
      <c r="I64" s="3" t="s">
        <v>465</v>
      </c>
      <c r="J64" s="3">
        <f t="shared" si="15"/>
        <v>18</v>
      </c>
      <c r="K64" s="3">
        <f t="shared" si="6"/>
        <v>18</v>
      </c>
      <c r="L64" s="3">
        <f t="shared" si="14"/>
        <v>61</v>
      </c>
    </row>
    <row r="65" spans="1:12" ht="12.75">
      <c r="A65" s="26">
        <v>62</v>
      </c>
      <c r="B65" s="50" t="s">
        <v>118</v>
      </c>
      <c r="C65" s="50">
        <f t="shared" si="1"/>
        <v>62</v>
      </c>
      <c r="D65" s="23" t="s">
        <v>130</v>
      </c>
      <c r="E65" s="50" t="s">
        <v>170</v>
      </c>
      <c r="F65" s="3" t="s">
        <v>171</v>
      </c>
      <c r="G65" s="24" t="s">
        <v>412</v>
      </c>
      <c r="H65" s="3" t="s">
        <v>418</v>
      </c>
      <c r="I65" s="3" t="s">
        <v>465</v>
      </c>
      <c r="J65" s="3">
        <f t="shared" si="15"/>
        <v>19</v>
      </c>
      <c r="K65" s="3">
        <f t="shared" si="6"/>
        <v>19</v>
      </c>
      <c r="L65" s="3">
        <f t="shared" si="14"/>
        <v>62</v>
      </c>
    </row>
    <row r="66" spans="1:12" ht="12.75">
      <c r="A66" s="26">
        <v>63</v>
      </c>
      <c r="B66" s="50" t="s">
        <v>79</v>
      </c>
      <c r="C66" s="50">
        <f t="shared" si="1"/>
        <v>63</v>
      </c>
      <c r="D66" s="23" t="s">
        <v>56</v>
      </c>
      <c r="E66" s="50" t="s">
        <v>172</v>
      </c>
      <c r="F66" s="3" t="s">
        <v>173</v>
      </c>
      <c r="G66" s="24" t="s">
        <v>412</v>
      </c>
      <c r="H66" s="3" t="s">
        <v>417</v>
      </c>
      <c r="I66" s="3" t="s">
        <v>465</v>
      </c>
      <c r="J66" s="3">
        <f t="shared" si="15"/>
        <v>20</v>
      </c>
      <c r="K66" s="3">
        <f t="shared" si="6"/>
        <v>20</v>
      </c>
      <c r="L66" s="3">
        <f t="shared" si="14"/>
        <v>63</v>
      </c>
    </row>
    <row r="67" spans="1:12" ht="12.75">
      <c r="A67" s="26">
        <v>64</v>
      </c>
      <c r="B67" s="50" t="s">
        <v>274</v>
      </c>
      <c r="C67" s="50">
        <f aca="true" t="shared" si="21" ref="C67:C124">IF(ISBLANK(A67),"",A67)</f>
        <v>64</v>
      </c>
      <c r="D67" s="23" t="s">
        <v>23</v>
      </c>
      <c r="E67" s="50" t="s">
        <v>172</v>
      </c>
      <c r="F67" s="3" t="s">
        <v>173</v>
      </c>
      <c r="G67" s="24" t="s">
        <v>412</v>
      </c>
      <c r="H67" s="3" t="s">
        <v>417</v>
      </c>
      <c r="I67" s="3" t="s">
        <v>465</v>
      </c>
      <c r="J67" s="3">
        <f t="shared" si="15"/>
        <v>21</v>
      </c>
      <c r="K67" s="3">
        <f t="shared" si="6"/>
        <v>21</v>
      </c>
      <c r="L67" s="3">
        <f t="shared" si="14"/>
        <v>64</v>
      </c>
    </row>
    <row r="68" spans="1:12" ht="12.75">
      <c r="A68" s="26">
        <v>65</v>
      </c>
      <c r="B68" s="50" t="s">
        <v>381</v>
      </c>
      <c r="C68" s="50">
        <f t="shared" si="21"/>
        <v>65</v>
      </c>
      <c r="D68" s="23" t="s">
        <v>258</v>
      </c>
      <c r="E68" s="50" t="s">
        <v>168</v>
      </c>
      <c r="F68" s="3" t="s">
        <v>169</v>
      </c>
      <c r="G68" s="24" t="s">
        <v>413</v>
      </c>
      <c r="H68" s="3" t="s">
        <v>421</v>
      </c>
      <c r="I68" s="3" t="s">
        <v>467</v>
      </c>
      <c r="J68" s="3">
        <f t="shared" si="15"/>
        <v>21</v>
      </c>
      <c r="K68" s="3">
        <f t="shared" si="6"/>
        <v>0</v>
      </c>
      <c r="L68" s="3">
        <f aca="true" t="shared" si="22" ref="L68:L99">IF(K68=0,0,C68)</f>
        <v>0</v>
      </c>
    </row>
    <row r="69" spans="1:12" ht="12.75">
      <c r="A69" s="26">
        <v>66</v>
      </c>
      <c r="B69" s="50" t="s">
        <v>380</v>
      </c>
      <c r="C69" s="50">
        <f t="shared" si="21"/>
        <v>66</v>
      </c>
      <c r="D69" s="23" t="s">
        <v>16</v>
      </c>
      <c r="E69" s="50" t="s">
        <v>164</v>
      </c>
      <c r="F69" s="3" t="s">
        <v>165</v>
      </c>
      <c r="G69" s="24" t="s">
        <v>415</v>
      </c>
      <c r="H69" s="3" t="s">
        <v>423</v>
      </c>
      <c r="I69" s="3" t="s">
        <v>466</v>
      </c>
      <c r="J69" s="3">
        <f aca="true" t="shared" si="23" ref="J69:J100">IF($K$2=B69,J68,IF($N$2=I69,J68+1,J68))</f>
        <v>21</v>
      </c>
      <c r="K69" s="3">
        <f t="shared" si="6"/>
        <v>0</v>
      </c>
      <c r="L69" s="3">
        <f t="shared" si="22"/>
        <v>0</v>
      </c>
    </row>
    <row r="70" spans="1:12" ht="12.75">
      <c r="A70" s="26">
        <v>67</v>
      </c>
      <c r="B70" s="50" t="s">
        <v>389</v>
      </c>
      <c r="C70" s="50">
        <f t="shared" si="21"/>
        <v>67</v>
      </c>
      <c r="D70" s="23" t="s">
        <v>17</v>
      </c>
      <c r="E70" s="50" t="s">
        <v>168</v>
      </c>
      <c r="F70" s="3" t="s">
        <v>169</v>
      </c>
      <c r="G70" s="24" t="s">
        <v>415</v>
      </c>
      <c r="H70" s="3" t="s">
        <v>423</v>
      </c>
      <c r="I70" s="3" t="s">
        <v>466</v>
      </c>
      <c r="J70" s="3">
        <f t="shared" si="23"/>
        <v>21</v>
      </c>
      <c r="K70" s="3">
        <f aca="true" t="shared" si="24" ref="K70:K133">IF(J70=J69,0,J70)</f>
        <v>0</v>
      </c>
      <c r="L70" s="3">
        <f t="shared" si="22"/>
        <v>0</v>
      </c>
    </row>
    <row r="71" spans="1:12" ht="12.75">
      <c r="A71" s="26">
        <v>68</v>
      </c>
      <c r="B71" s="50" t="s">
        <v>275</v>
      </c>
      <c r="C71" s="50">
        <f t="shared" si="21"/>
        <v>68</v>
      </c>
      <c r="D71" s="23" t="s">
        <v>132</v>
      </c>
      <c r="E71" s="50" t="s">
        <v>168</v>
      </c>
      <c r="F71" s="3" t="s">
        <v>169</v>
      </c>
      <c r="G71" s="24" t="s">
        <v>413</v>
      </c>
      <c r="H71" s="3" t="s">
        <v>421</v>
      </c>
      <c r="I71" s="3" t="s">
        <v>467</v>
      </c>
      <c r="J71" s="3">
        <f t="shared" si="23"/>
        <v>21</v>
      </c>
      <c r="K71" s="3">
        <f t="shared" si="24"/>
        <v>0</v>
      </c>
      <c r="L71" s="3">
        <f t="shared" si="22"/>
        <v>0</v>
      </c>
    </row>
    <row r="72" spans="1:12" ht="12.75">
      <c r="A72" s="26">
        <v>69</v>
      </c>
      <c r="B72" s="50" t="s">
        <v>365</v>
      </c>
      <c r="C72" s="50">
        <f t="shared" si="21"/>
        <v>69</v>
      </c>
      <c r="D72" s="23" t="s">
        <v>255</v>
      </c>
      <c r="E72" s="50" t="s">
        <v>166</v>
      </c>
      <c r="F72" s="3" t="s">
        <v>167</v>
      </c>
      <c r="G72" s="24" t="s">
        <v>413</v>
      </c>
      <c r="H72" s="3" t="s">
        <v>420</v>
      </c>
      <c r="I72" s="3" t="s">
        <v>467</v>
      </c>
      <c r="J72" s="3">
        <f t="shared" si="23"/>
        <v>21</v>
      </c>
      <c r="K72" s="3">
        <f t="shared" si="24"/>
        <v>0</v>
      </c>
      <c r="L72" s="3">
        <f t="shared" si="22"/>
        <v>0</v>
      </c>
    </row>
    <row r="73" spans="1:12" ht="12.75">
      <c r="A73" s="26">
        <v>70</v>
      </c>
      <c r="B73" s="50" t="s">
        <v>329</v>
      </c>
      <c r="C73" s="50">
        <f t="shared" si="21"/>
        <v>70</v>
      </c>
      <c r="D73" s="23" t="s">
        <v>213</v>
      </c>
      <c r="E73" s="50" t="s">
        <v>164</v>
      </c>
      <c r="F73" s="3" t="s">
        <v>165</v>
      </c>
      <c r="G73" s="24" t="s">
        <v>412</v>
      </c>
      <c r="H73" s="3" t="s">
        <v>418</v>
      </c>
      <c r="I73" s="3" t="s">
        <v>465</v>
      </c>
      <c r="J73" s="3">
        <f t="shared" si="23"/>
        <v>22</v>
      </c>
      <c r="K73" s="3">
        <f t="shared" si="24"/>
        <v>22</v>
      </c>
      <c r="L73" s="3">
        <f t="shared" si="22"/>
        <v>70</v>
      </c>
    </row>
    <row r="74" spans="1:12" ht="12.75">
      <c r="A74" s="26">
        <v>71</v>
      </c>
      <c r="B74" s="50" t="s">
        <v>276</v>
      </c>
      <c r="C74" s="50">
        <f t="shared" si="21"/>
        <v>71</v>
      </c>
      <c r="D74" s="23" t="s">
        <v>97</v>
      </c>
      <c r="E74" s="50" t="s">
        <v>166</v>
      </c>
      <c r="F74" s="3" t="s">
        <v>167</v>
      </c>
      <c r="G74" s="50" t="s">
        <v>413</v>
      </c>
      <c r="H74" s="23" t="s">
        <v>443</v>
      </c>
      <c r="I74" s="3" t="s">
        <v>467</v>
      </c>
      <c r="J74" s="3">
        <f t="shared" si="23"/>
        <v>22</v>
      </c>
      <c r="K74" s="3">
        <f t="shared" si="24"/>
        <v>0</v>
      </c>
      <c r="L74" s="3">
        <f t="shared" si="22"/>
        <v>0</v>
      </c>
    </row>
    <row r="75" spans="1:12" ht="12.75">
      <c r="A75" s="26">
        <v>72</v>
      </c>
      <c r="B75" s="50" t="s">
        <v>393</v>
      </c>
      <c r="C75" s="50">
        <f t="shared" si="21"/>
        <v>72</v>
      </c>
      <c r="D75" s="23" t="s">
        <v>259</v>
      </c>
      <c r="E75" s="50" t="s">
        <v>170</v>
      </c>
      <c r="F75" s="3" t="s">
        <v>171</v>
      </c>
      <c r="G75" s="24" t="s">
        <v>413</v>
      </c>
      <c r="H75" s="3" t="s">
        <v>421</v>
      </c>
      <c r="I75" s="3" t="s">
        <v>467</v>
      </c>
      <c r="J75" s="3">
        <f t="shared" si="23"/>
        <v>22</v>
      </c>
      <c r="K75" s="3">
        <f t="shared" si="24"/>
        <v>0</v>
      </c>
      <c r="L75" s="3">
        <f t="shared" si="22"/>
        <v>0</v>
      </c>
    </row>
    <row r="76" spans="1:12" ht="12.75">
      <c r="A76" s="26">
        <v>73</v>
      </c>
      <c r="B76" s="50" t="s">
        <v>405</v>
      </c>
      <c r="C76" s="50">
        <f t="shared" si="21"/>
        <v>73</v>
      </c>
      <c r="D76" s="23" t="s">
        <v>69</v>
      </c>
      <c r="E76" s="50" t="s">
        <v>164</v>
      </c>
      <c r="F76" s="3" t="s">
        <v>165</v>
      </c>
      <c r="G76" s="24" t="s">
        <v>415</v>
      </c>
      <c r="H76" s="3" t="s">
        <v>425</v>
      </c>
      <c r="I76" s="3" t="s">
        <v>466</v>
      </c>
      <c r="J76" s="3">
        <f t="shared" si="23"/>
        <v>22</v>
      </c>
      <c r="K76" s="3">
        <f t="shared" si="24"/>
        <v>0</v>
      </c>
      <c r="L76" s="3">
        <f t="shared" si="22"/>
        <v>0</v>
      </c>
    </row>
    <row r="77" spans="1:12" ht="12.75">
      <c r="A77" s="26">
        <v>74</v>
      </c>
      <c r="B77" s="50" t="s">
        <v>280</v>
      </c>
      <c r="C77" s="50">
        <f t="shared" si="21"/>
        <v>74</v>
      </c>
      <c r="D77" s="23" t="s">
        <v>99</v>
      </c>
      <c r="E77" s="50" t="s">
        <v>168</v>
      </c>
      <c r="F77" s="3" t="s">
        <v>169</v>
      </c>
      <c r="G77" s="24" t="s">
        <v>412</v>
      </c>
      <c r="H77" s="3" t="s">
        <v>417</v>
      </c>
      <c r="I77" s="3" t="s">
        <v>465</v>
      </c>
      <c r="J77" s="3">
        <f t="shared" si="23"/>
        <v>23</v>
      </c>
      <c r="K77" s="3">
        <f t="shared" si="24"/>
        <v>23</v>
      </c>
      <c r="L77" s="3">
        <f t="shared" si="22"/>
        <v>74</v>
      </c>
    </row>
    <row r="78" spans="1:12" ht="12.75">
      <c r="A78" s="26">
        <v>75</v>
      </c>
      <c r="B78" s="50" t="s">
        <v>281</v>
      </c>
      <c r="C78" s="50">
        <f t="shared" si="21"/>
        <v>75</v>
      </c>
      <c r="D78" s="23" t="s">
        <v>133</v>
      </c>
      <c r="E78" s="50" t="s">
        <v>168</v>
      </c>
      <c r="F78" s="3" t="s">
        <v>169</v>
      </c>
      <c r="G78" s="24" t="s">
        <v>414</v>
      </c>
      <c r="H78" s="3" t="s">
        <v>422</v>
      </c>
      <c r="I78" s="3" t="s">
        <v>468</v>
      </c>
      <c r="J78" s="3">
        <f t="shared" si="23"/>
        <v>23</v>
      </c>
      <c r="K78" s="3">
        <f t="shared" si="24"/>
        <v>0</v>
      </c>
      <c r="L78" s="3">
        <f t="shared" si="22"/>
        <v>0</v>
      </c>
    </row>
    <row r="79" spans="1:16" ht="12.75">
      <c r="A79" s="26">
        <v>76</v>
      </c>
      <c r="B79" s="50" t="s">
        <v>283</v>
      </c>
      <c r="C79" s="50">
        <f t="shared" si="21"/>
        <v>76</v>
      </c>
      <c r="D79" s="23" t="s">
        <v>100</v>
      </c>
      <c r="E79" s="50" t="s">
        <v>166</v>
      </c>
      <c r="F79" s="3" t="s">
        <v>167</v>
      </c>
      <c r="G79" s="24" t="s">
        <v>412</v>
      </c>
      <c r="H79" s="3" t="s">
        <v>416</v>
      </c>
      <c r="I79" s="3" t="s">
        <v>465</v>
      </c>
      <c r="J79" s="3">
        <f t="shared" si="23"/>
        <v>24</v>
      </c>
      <c r="K79" s="3">
        <f t="shared" si="24"/>
        <v>24</v>
      </c>
      <c r="L79" s="3">
        <f t="shared" si="22"/>
        <v>76</v>
      </c>
      <c r="M79" s="2"/>
      <c r="N79" s="2"/>
      <c r="O79" s="2"/>
      <c r="P79" s="2"/>
    </row>
    <row r="80" spans="1:16" ht="12.75">
      <c r="A80" s="26">
        <v>77</v>
      </c>
      <c r="B80" s="50" t="s">
        <v>284</v>
      </c>
      <c r="C80" s="50">
        <f t="shared" si="21"/>
        <v>77</v>
      </c>
      <c r="D80" s="23" t="s">
        <v>135</v>
      </c>
      <c r="E80" s="50" t="s">
        <v>164</v>
      </c>
      <c r="F80" s="3" t="s">
        <v>165</v>
      </c>
      <c r="G80" s="24" t="s">
        <v>414</v>
      </c>
      <c r="H80" s="3" t="s">
        <v>422</v>
      </c>
      <c r="I80" s="3" t="s">
        <v>468</v>
      </c>
      <c r="J80" s="3">
        <f t="shared" si="23"/>
        <v>24</v>
      </c>
      <c r="K80" s="3">
        <f t="shared" si="24"/>
        <v>0</v>
      </c>
      <c r="L80" s="3">
        <f t="shared" si="22"/>
        <v>0</v>
      </c>
      <c r="M80" s="2"/>
      <c r="N80" s="2"/>
      <c r="O80" s="2"/>
      <c r="P80" s="2"/>
    </row>
    <row r="81" spans="1:16" ht="12.75">
      <c r="A81" s="26">
        <v>78</v>
      </c>
      <c r="B81" s="50" t="s">
        <v>346</v>
      </c>
      <c r="C81" s="50">
        <f t="shared" si="21"/>
        <v>78</v>
      </c>
      <c r="D81" s="23" t="s">
        <v>225</v>
      </c>
      <c r="E81" s="50" t="s">
        <v>168</v>
      </c>
      <c r="F81" s="3" t="s">
        <v>169</v>
      </c>
      <c r="G81" s="24" t="s">
        <v>413</v>
      </c>
      <c r="H81" s="3" t="s">
        <v>419</v>
      </c>
      <c r="I81" s="3" t="s">
        <v>467</v>
      </c>
      <c r="J81" s="3">
        <f t="shared" si="23"/>
        <v>24</v>
      </c>
      <c r="K81" s="3">
        <f t="shared" si="24"/>
        <v>0</v>
      </c>
      <c r="L81" s="3">
        <f t="shared" si="22"/>
        <v>0</v>
      </c>
      <c r="M81" s="2"/>
      <c r="N81" s="2"/>
      <c r="O81" s="2"/>
      <c r="P81" s="2"/>
    </row>
    <row r="82" spans="1:16" ht="12.75">
      <c r="A82" s="26">
        <v>79</v>
      </c>
      <c r="B82" s="50" t="s">
        <v>285</v>
      </c>
      <c r="C82" s="50">
        <f t="shared" si="21"/>
        <v>79</v>
      </c>
      <c r="D82" s="23" t="s">
        <v>136</v>
      </c>
      <c r="E82" s="50" t="s">
        <v>166</v>
      </c>
      <c r="F82" s="3" t="s">
        <v>167</v>
      </c>
      <c r="G82" s="24" t="s">
        <v>415</v>
      </c>
      <c r="H82" s="3" t="s">
        <v>425</v>
      </c>
      <c r="I82" s="3" t="s">
        <v>466</v>
      </c>
      <c r="J82" s="3">
        <f t="shared" si="23"/>
        <v>24</v>
      </c>
      <c r="K82" s="3">
        <f t="shared" si="24"/>
        <v>0</v>
      </c>
      <c r="L82" s="3">
        <f t="shared" si="22"/>
        <v>0</v>
      </c>
      <c r="M82" s="2"/>
      <c r="N82" s="2"/>
      <c r="O82" s="2"/>
      <c r="P82" s="2"/>
    </row>
    <row r="83" spans="1:16" ht="12.75">
      <c r="A83" s="26">
        <v>80</v>
      </c>
      <c r="B83" s="50" t="s">
        <v>286</v>
      </c>
      <c r="C83" s="50">
        <f t="shared" si="21"/>
        <v>80</v>
      </c>
      <c r="D83" s="23" t="s">
        <v>101</v>
      </c>
      <c r="E83" s="50" t="s">
        <v>166</v>
      </c>
      <c r="F83" s="3" t="s">
        <v>167</v>
      </c>
      <c r="G83" s="24" t="s">
        <v>412</v>
      </c>
      <c r="H83" s="3" t="s">
        <v>418</v>
      </c>
      <c r="I83" s="3" t="s">
        <v>465</v>
      </c>
      <c r="J83" s="3">
        <f t="shared" si="23"/>
        <v>25</v>
      </c>
      <c r="K83" s="3">
        <f t="shared" si="24"/>
        <v>25</v>
      </c>
      <c r="L83" s="3">
        <f t="shared" si="22"/>
        <v>80</v>
      </c>
      <c r="M83" s="2"/>
      <c r="N83" s="2"/>
      <c r="O83" s="2"/>
      <c r="P83" s="2"/>
    </row>
    <row r="84" spans="1:16" ht="12.75">
      <c r="A84" s="26">
        <v>81</v>
      </c>
      <c r="B84" s="50" t="s">
        <v>339</v>
      </c>
      <c r="C84" s="50">
        <f t="shared" si="21"/>
        <v>81</v>
      </c>
      <c r="D84" s="23" t="s">
        <v>245</v>
      </c>
      <c r="E84" s="50" t="s">
        <v>164</v>
      </c>
      <c r="F84" s="3" t="s">
        <v>165</v>
      </c>
      <c r="G84" s="24" t="s">
        <v>412</v>
      </c>
      <c r="H84" s="3" t="s">
        <v>416</v>
      </c>
      <c r="I84" s="3" t="s">
        <v>465</v>
      </c>
      <c r="J84" s="3">
        <f t="shared" si="23"/>
        <v>26</v>
      </c>
      <c r="K84" s="3">
        <f t="shared" si="24"/>
        <v>26</v>
      </c>
      <c r="L84" s="3">
        <f t="shared" si="22"/>
        <v>81</v>
      </c>
      <c r="M84" s="2"/>
      <c r="N84" s="2"/>
      <c r="O84" s="2"/>
      <c r="P84" s="2"/>
    </row>
    <row r="85" spans="1:16" ht="12.75">
      <c r="A85" s="26">
        <v>82</v>
      </c>
      <c r="B85" s="50" t="s">
        <v>410</v>
      </c>
      <c r="C85" s="50">
        <f t="shared" si="21"/>
        <v>82</v>
      </c>
      <c r="D85" s="23" t="s">
        <v>409</v>
      </c>
      <c r="E85" s="50" t="s">
        <v>170</v>
      </c>
      <c r="F85" s="3" t="s">
        <v>171</v>
      </c>
      <c r="G85" s="24" t="s">
        <v>413</v>
      </c>
      <c r="H85" s="3" t="s">
        <v>419</v>
      </c>
      <c r="I85" s="3" t="s">
        <v>467</v>
      </c>
      <c r="J85" s="3">
        <f t="shared" si="23"/>
        <v>26</v>
      </c>
      <c r="K85" s="3">
        <f t="shared" si="24"/>
        <v>0</v>
      </c>
      <c r="L85" s="3">
        <f t="shared" si="22"/>
        <v>0</v>
      </c>
      <c r="M85" s="2"/>
      <c r="N85" s="2"/>
      <c r="O85" s="2"/>
      <c r="P85" s="2"/>
    </row>
    <row r="86" spans="1:16" ht="12.75">
      <c r="A86" s="26">
        <v>83</v>
      </c>
      <c r="B86" s="50" t="s">
        <v>392</v>
      </c>
      <c r="C86" s="50">
        <f t="shared" si="21"/>
        <v>83</v>
      </c>
      <c r="D86" s="23" t="s">
        <v>52</v>
      </c>
      <c r="E86" s="50" t="s">
        <v>170</v>
      </c>
      <c r="F86" s="3" t="s">
        <v>171</v>
      </c>
      <c r="G86" s="24" t="s">
        <v>415</v>
      </c>
      <c r="H86" s="3" t="s">
        <v>424</v>
      </c>
      <c r="I86" s="3" t="s">
        <v>466</v>
      </c>
      <c r="J86" s="3">
        <f t="shared" si="23"/>
        <v>26</v>
      </c>
      <c r="K86" s="3">
        <f t="shared" si="24"/>
        <v>0</v>
      </c>
      <c r="L86" s="3">
        <f t="shared" si="22"/>
        <v>0</v>
      </c>
      <c r="M86" s="2"/>
      <c r="N86" s="2"/>
      <c r="O86" s="2"/>
      <c r="P86" s="2"/>
    </row>
    <row r="87" spans="1:16" ht="12.75">
      <c r="A87" s="26">
        <v>84</v>
      </c>
      <c r="B87" s="50" t="s">
        <v>351</v>
      </c>
      <c r="C87" s="50">
        <f t="shared" si="21"/>
        <v>84</v>
      </c>
      <c r="D87" s="23" t="s">
        <v>434</v>
      </c>
      <c r="E87" s="50" t="s">
        <v>172</v>
      </c>
      <c r="F87" s="3" t="s">
        <v>173</v>
      </c>
      <c r="G87" s="24" t="s">
        <v>413</v>
      </c>
      <c r="H87" s="3" t="s">
        <v>421</v>
      </c>
      <c r="I87" s="3" t="s">
        <v>467</v>
      </c>
      <c r="J87" s="3">
        <f t="shared" si="23"/>
        <v>26</v>
      </c>
      <c r="K87" s="3">
        <f t="shared" si="24"/>
        <v>0</v>
      </c>
      <c r="L87" s="3">
        <f t="shared" si="22"/>
        <v>0</v>
      </c>
      <c r="M87" s="2"/>
      <c r="N87" s="2"/>
      <c r="O87" s="2"/>
      <c r="P87" s="2"/>
    </row>
    <row r="88" spans="1:16" ht="12.75">
      <c r="A88" s="26">
        <v>85</v>
      </c>
      <c r="B88" s="50" t="s">
        <v>330</v>
      </c>
      <c r="C88" s="50">
        <f t="shared" si="21"/>
        <v>85</v>
      </c>
      <c r="D88" s="23" t="s">
        <v>214</v>
      </c>
      <c r="E88" s="50" t="s">
        <v>164</v>
      </c>
      <c r="F88" s="3" t="s">
        <v>165</v>
      </c>
      <c r="G88" s="24" t="s">
        <v>412</v>
      </c>
      <c r="H88" s="3" t="s">
        <v>417</v>
      </c>
      <c r="I88" s="3" t="s">
        <v>465</v>
      </c>
      <c r="J88" s="3">
        <f t="shared" si="23"/>
        <v>27</v>
      </c>
      <c r="K88" s="3">
        <f t="shared" si="24"/>
        <v>27</v>
      </c>
      <c r="L88" s="3">
        <f t="shared" si="22"/>
        <v>85</v>
      </c>
      <c r="M88" s="2"/>
      <c r="N88" s="2"/>
      <c r="O88" s="2"/>
      <c r="P88" s="2"/>
    </row>
    <row r="89" spans="1:16" ht="12.75">
      <c r="A89" s="26">
        <v>86</v>
      </c>
      <c r="B89" s="50" t="s">
        <v>403</v>
      </c>
      <c r="C89" s="50">
        <f t="shared" si="21"/>
        <v>86</v>
      </c>
      <c r="D89" s="23" t="s">
        <v>246</v>
      </c>
      <c r="E89" s="50" t="s">
        <v>168</v>
      </c>
      <c r="F89" s="3" t="s">
        <v>169</v>
      </c>
      <c r="G89" s="24" t="s">
        <v>413</v>
      </c>
      <c r="H89" s="3" t="s">
        <v>421</v>
      </c>
      <c r="I89" s="3" t="s">
        <v>467</v>
      </c>
      <c r="J89" s="3">
        <f t="shared" si="23"/>
        <v>27</v>
      </c>
      <c r="K89" s="3">
        <f t="shared" si="24"/>
        <v>0</v>
      </c>
      <c r="L89" s="3">
        <f t="shared" si="22"/>
        <v>0</v>
      </c>
      <c r="M89" s="2"/>
      <c r="N89" s="2"/>
      <c r="O89" s="2"/>
      <c r="P89" s="2"/>
    </row>
    <row r="90" spans="1:16" ht="12.75">
      <c r="A90" s="26">
        <v>87</v>
      </c>
      <c r="B90" s="50" t="s">
        <v>401</v>
      </c>
      <c r="C90" s="50">
        <f t="shared" si="21"/>
        <v>87</v>
      </c>
      <c r="D90" s="23" t="s">
        <v>67</v>
      </c>
      <c r="E90" s="50" t="s">
        <v>164</v>
      </c>
      <c r="F90" s="3" t="s">
        <v>165</v>
      </c>
      <c r="G90" s="24" t="s">
        <v>415</v>
      </c>
      <c r="H90" s="3" t="s">
        <v>425</v>
      </c>
      <c r="I90" s="3" t="s">
        <v>466</v>
      </c>
      <c r="J90" s="3">
        <f t="shared" si="23"/>
        <v>27</v>
      </c>
      <c r="K90" s="3">
        <f t="shared" si="24"/>
        <v>0</v>
      </c>
      <c r="L90" s="3">
        <f t="shared" si="22"/>
        <v>0</v>
      </c>
      <c r="M90" s="2"/>
      <c r="N90" s="2"/>
      <c r="O90" s="2"/>
      <c r="P90" s="2"/>
    </row>
    <row r="91" spans="1:16" ht="12.75">
      <c r="A91" s="26">
        <v>88</v>
      </c>
      <c r="B91" s="50" t="s">
        <v>288</v>
      </c>
      <c r="C91" s="50">
        <f t="shared" si="21"/>
        <v>88</v>
      </c>
      <c r="D91" s="23" t="s">
        <v>102</v>
      </c>
      <c r="E91" s="50" t="s">
        <v>166</v>
      </c>
      <c r="F91" s="3" t="s">
        <v>167</v>
      </c>
      <c r="G91" s="24" t="s">
        <v>415</v>
      </c>
      <c r="H91" s="3" t="s">
        <v>425</v>
      </c>
      <c r="I91" s="3" t="s">
        <v>466</v>
      </c>
      <c r="J91" s="3">
        <f t="shared" si="23"/>
        <v>27</v>
      </c>
      <c r="K91" s="3">
        <f t="shared" si="24"/>
        <v>0</v>
      </c>
      <c r="L91" s="3">
        <f t="shared" si="22"/>
        <v>0</v>
      </c>
      <c r="M91" s="2"/>
      <c r="N91" s="2"/>
      <c r="O91" s="2"/>
      <c r="P91" s="2"/>
    </row>
    <row r="92" spans="1:16" ht="12.75">
      <c r="A92" s="26">
        <v>89</v>
      </c>
      <c r="B92" s="50" t="s">
        <v>289</v>
      </c>
      <c r="C92" s="50">
        <f t="shared" si="21"/>
        <v>89</v>
      </c>
      <c r="D92" s="23" t="s">
        <v>142</v>
      </c>
      <c r="E92" s="50" t="s">
        <v>164</v>
      </c>
      <c r="F92" s="3" t="s">
        <v>165</v>
      </c>
      <c r="G92" s="24" t="s">
        <v>415</v>
      </c>
      <c r="H92" s="3" t="s">
        <v>424</v>
      </c>
      <c r="I92" s="3" t="s">
        <v>466</v>
      </c>
      <c r="J92" s="3">
        <f t="shared" si="23"/>
        <v>27</v>
      </c>
      <c r="K92" s="3">
        <f t="shared" si="24"/>
        <v>0</v>
      </c>
      <c r="L92" s="3">
        <f t="shared" si="22"/>
        <v>0</v>
      </c>
      <c r="M92" s="2"/>
      <c r="N92" s="2"/>
      <c r="O92" s="2"/>
      <c r="P92" s="2"/>
    </row>
    <row r="93" spans="1:16" ht="12.75">
      <c r="A93" s="26">
        <v>90</v>
      </c>
      <c r="B93" s="50" t="s">
        <v>377</v>
      </c>
      <c r="C93" s="50">
        <f t="shared" si="21"/>
        <v>90</v>
      </c>
      <c r="D93" s="23" t="s">
        <v>48</v>
      </c>
      <c r="E93" s="50" t="s">
        <v>172</v>
      </c>
      <c r="F93" s="3" t="s">
        <v>173</v>
      </c>
      <c r="G93" s="24" t="s">
        <v>415</v>
      </c>
      <c r="H93" s="3" t="s">
        <v>423</v>
      </c>
      <c r="I93" s="3" t="s">
        <v>466</v>
      </c>
      <c r="J93" s="3">
        <f t="shared" si="23"/>
        <v>27</v>
      </c>
      <c r="K93" s="3">
        <f t="shared" si="24"/>
        <v>0</v>
      </c>
      <c r="L93" s="3">
        <f t="shared" si="22"/>
        <v>0</v>
      </c>
      <c r="M93" s="2"/>
      <c r="N93" s="2"/>
      <c r="O93" s="2"/>
      <c r="P93" s="2"/>
    </row>
    <row r="94" spans="1:16" ht="12.75">
      <c r="A94" s="26">
        <v>91</v>
      </c>
      <c r="B94" s="50" t="s">
        <v>291</v>
      </c>
      <c r="C94" s="50">
        <f t="shared" si="21"/>
        <v>91</v>
      </c>
      <c r="D94" s="23" t="s">
        <v>26</v>
      </c>
      <c r="E94" s="50" t="s">
        <v>172</v>
      </c>
      <c r="F94" s="3" t="s">
        <v>173</v>
      </c>
      <c r="G94" s="24" t="s">
        <v>413</v>
      </c>
      <c r="H94" s="3" t="s">
        <v>420</v>
      </c>
      <c r="I94" s="3" t="s">
        <v>467</v>
      </c>
      <c r="J94" s="3">
        <f t="shared" si="23"/>
        <v>27</v>
      </c>
      <c r="K94" s="3">
        <f t="shared" si="24"/>
        <v>0</v>
      </c>
      <c r="L94" s="3">
        <f t="shared" si="22"/>
        <v>0</v>
      </c>
      <c r="M94" s="2"/>
      <c r="N94" s="2"/>
      <c r="O94" s="2"/>
      <c r="P94" s="2"/>
    </row>
    <row r="95" spans="1:16" ht="12.75">
      <c r="A95" s="26">
        <v>92</v>
      </c>
      <c r="B95" s="50" t="s">
        <v>347</v>
      </c>
      <c r="C95" s="50">
        <f t="shared" si="21"/>
        <v>92</v>
      </c>
      <c r="D95" s="23" t="s">
        <v>251</v>
      </c>
      <c r="E95" s="50" t="s">
        <v>164</v>
      </c>
      <c r="F95" s="3" t="s">
        <v>165</v>
      </c>
      <c r="G95" s="24" t="s">
        <v>415</v>
      </c>
      <c r="H95" s="3" t="s">
        <v>424</v>
      </c>
      <c r="I95" s="3" t="s">
        <v>466</v>
      </c>
      <c r="J95" s="3">
        <f t="shared" si="23"/>
        <v>27</v>
      </c>
      <c r="K95" s="3">
        <f t="shared" si="24"/>
        <v>0</v>
      </c>
      <c r="L95" s="3">
        <f t="shared" si="22"/>
        <v>0</v>
      </c>
      <c r="M95" s="2"/>
      <c r="N95" s="2"/>
      <c r="O95" s="2"/>
      <c r="P95" s="2"/>
    </row>
    <row r="96" spans="1:16" ht="12.75">
      <c r="A96" s="26">
        <v>93</v>
      </c>
      <c r="B96" s="50" t="s">
        <v>77</v>
      </c>
      <c r="C96" s="50">
        <f t="shared" si="21"/>
        <v>93</v>
      </c>
      <c r="D96" s="23" t="s">
        <v>54</v>
      </c>
      <c r="E96" s="50" t="s">
        <v>168</v>
      </c>
      <c r="F96" s="3" t="s">
        <v>169</v>
      </c>
      <c r="G96" s="24" t="s">
        <v>412</v>
      </c>
      <c r="H96" s="3" t="s">
        <v>417</v>
      </c>
      <c r="I96" s="3" t="s">
        <v>465</v>
      </c>
      <c r="J96" s="3">
        <f t="shared" si="23"/>
        <v>28</v>
      </c>
      <c r="K96" s="3">
        <f t="shared" si="24"/>
        <v>28</v>
      </c>
      <c r="L96" s="3">
        <f t="shared" si="22"/>
        <v>93</v>
      </c>
      <c r="M96" s="2"/>
      <c r="N96" s="2"/>
      <c r="O96" s="2"/>
      <c r="P96" s="2"/>
    </row>
    <row r="97" spans="1:16" ht="12.75">
      <c r="A97" s="26">
        <v>94</v>
      </c>
      <c r="B97" s="50" t="s">
        <v>352</v>
      </c>
      <c r="C97" s="50">
        <f t="shared" si="21"/>
        <v>94</v>
      </c>
      <c r="D97" s="23" t="s">
        <v>32</v>
      </c>
      <c r="E97" s="50" t="s">
        <v>168</v>
      </c>
      <c r="F97" s="3" t="s">
        <v>169</v>
      </c>
      <c r="G97" s="24" t="s">
        <v>415</v>
      </c>
      <c r="H97" s="3" t="s">
        <v>425</v>
      </c>
      <c r="I97" s="3" t="s">
        <v>466</v>
      </c>
      <c r="J97" s="3">
        <f t="shared" si="23"/>
        <v>28</v>
      </c>
      <c r="K97" s="3">
        <f t="shared" si="24"/>
        <v>0</v>
      </c>
      <c r="L97" s="3">
        <f t="shared" si="22"/>
        <v>0</v>
      </c>
      <c r="M97" s="2"/>
      <c r="N97" s="2"/>
      <c r="O97" s="2"/>
      <c r="P97" s="2"/>
    </row>
    <row r="98" spans="1:16" ht="12.75">
      <c r="A98" s="26">
        <v>95</v>
      </c>
      <c r="B98" s="50" t="s">
        <v>293</v>
      </c>
      <c r="C98" s="50">
        <f t="shared" si="21"/>
        <v>95</v>
      </c>
      <c r="D98" s="23" t="s">
        <v>144</v>
      </c>
      <c r="E98" s="50" t="s">
        <v>172</v>
      </c>
      <c r="F98" s="3" t="s">
        <v>173</v>
      </c>
      <c r="G98" s="24" t="s">
        <v>414</v>
      </c>
      <c r="H98" s="3" t="s">
        <v>422</v>
      </c>
      <c r="I98" s="3" t="s">
        <v>468</v>
      </c>
      <c r="J98" s="3">
        <f t="shared" si="23"/>
        <v>28</v>
      </c>
      <c r="K98" s="3">
        <f t="shared" si="24"/>
        <v>0</v>
      </c>
      <c r="L98" s="3">
        <f t="shared" si="22"/>
        <v>0</v>
      </c>
      <c r="M98" s="2"/>
      <c r="N98" s="2"/>
      <c r="O98" s="2"/>
      <c r="P98" s="2"/>
    </row>
    <row r="99" spans="1:16" ht="12.75">
      <c r="A99" s="26">
        <v>96</v>
      </c>
      <c r="B99" s="50" t="s">
        <v>294</v>
      </c>
      <c r="C99" s="50">
        <f t="shared" si="21"/>
        <v>96</v>
      </c>
      <c r="D99" s="23" t="s">
        <v>145</v>
      </c>
      <c r="E99" s="50" t="s">
        <v>164</v>
      </c>
      <c r="F99" s="3" t="s">
        <v>165</v>
      </c>
      <c r="G99" s="24" t="s">
        <v>415</v>
      </c>
      <c r="H99" s="3" t="s">
        <v>425</v>
      </c>
      <c r="I99" s="3" t="s">
        <v>466</v>
      </c>
      <c r="J99" s="3">
        <f t="shared" si="23"/>
        <v>28</v>
      </c>
      <c r="K99" s="3">
        <f t="shared" si="24"/>
        <v>0</v>
      </c>
      <c r="L99" s="3">
        <f t="shared" si="22"/>
        <v>0</v>
      </c>
      <c r="M99" s="2"/>
      <c r="N99" s="2"/>
      <c r="O99" s="2"/>
      <c r="P99" s="2"/>
    </row>
    <row r="100" spans="1:16" ht="12.75">
      <c r="A100" s="26">
        <v>97</v>
      </c>
      <c r="B100" s="50" t="s">
        <v>340</v>
      </c>
      <c r="C100" s="50">
        <f t="shared" si="21"/>
        <v>97</v>
      </c>
      <c r="D100" s="23" t="s">
        <v>27</v>
      </c>
      <c r="E100" s="50" t="s">
        <v>164</v>
      </c>
      <c r="F100" s="3" t="s">
        <v>165</v>
      </c>
      <c r="G100" s="24" t="s">
        <v>415</v>
      </c>
      <c r="H100" s="3" t="s">
        <v>425</v>
      </c>
      <c r="I100" s="3" t="s">
        <v>466</v>
      </c>
      <c r="J100" s="3">
        <f t="shared" si="23"/>
        <v>28</v>
      </c>
      <c r="K100" s="3">
        <f t="shared" si="24"/>
        <v>0</v>
      </c>
      <c r="L100" s="3">
        <f aca="true" t="shared" si="25" ref="L100:L131">IF(K100=0,0,C100)</f>
        <v>0</v>
      </c>
      <c r="M100" s="2"/>
      <c r="N100" s="2"/>
      <c r="O100" s="2"/>
      <c r="P100" s="2"/>
    </row>
    <row r="101" spans="1:16" ht="12.75">
      <c r="A101" s="26">
        <v>98</v>
      </c>
      <c r="B101" s="50" t="s">
        <v>369</v>
      </c>
      <c r="C101" s="50">
        <f t="shared" si="21"/>
        <v>98</v>
      </c>
      <c r="D101" s="23" t="s">
        <v>232</v>
      </c>
      <c r="E101" s="50" t="s">
        <v>170</v>
      </c>
      <c r="F101" s="3" t="s">
        <v>171</v>
      </c>
      <c r="G101" s="24" t="s">
        <v>414</v>
      </c>
      <c r="H101" s="3" t="s">
        <v>422</v>
      </c>
      <c r="I101" s="3" t="s">
        <v>468</v>
      </c>
      <c r="J101" s="3">
        <f aca="true" t="shared" si="26" ref="J101:J132">IF($K$2=B101,J100,IF($N$2=I101,J100+1,J100))</f>
        <v>28</v>
      </c>
      <c r="K101" s="3">
        <f t="shared" si="24"/>
        <v>0</v>
      </c>
      <c r="L101" s="3">
        <f t="shared" si="25"/>
        <v>0</v>
      </c>
      <c r="M101" s="2"/>
      <c r="N101" s="2"/>
      <c r="O101" s="2"/>
      <c r="P101" s="2"/>
    </row>
    <row r="102" spans="1:16" ht="12.75">
      <c r="A102" s="26">
        <v>99</v>
      </c>
      <c r="B102" s="50" t="s">
        <v>295</v>
      </c>
      <c r="C102" s="50">
        <f t="shared" si="21"/>
        <v>99</v>
      </c>
      <c r="D102" s="23" t="s">
        <v>236</v>
      </c>
      <c r="E102" s="50" t="s">
        <v>170</v>
      </c>
      <c r="F102" s="3" t="s">
        <v>171</v>
      </c>
      <c r="G102" s="24" t="s">
        <v>412</v>
      </c>
      <c r="H102" s="3" t="s">
        <v>417</v>
      </c>
      <c r="I102" s="3" t="s">
        <v>465</v>
      </c>
      <c r="J102" s="3">
        <f t="shared" si="26"/>
        <v>29</v>
      </c>
      <c r="K102" s="3">
        <f t="shared" si="24"/>
        <v>29</v>
      </c>
      <c r="L102" s="3">
        <f t="shared" si="25"/>
        <v>99</v>
      </c>
      <c r="M102" s="2"/>
      <c r="N102" s="2"/>
      <c r="O102" s="2"/>
      <c r="P102" s="2"/>
    </row>
    <row r="103" spans="1:16" ht="12.75">
      <c r="A103" s="26">
        <v>100</v>
      </c>
      <c r="B103" s="50" t="s">
        <v>296</v>
      </c>
      <c r="C103" s="50">
        <f t="shared" si="21"/>
        <v>100</v>
      </c>
      <c r="D103" s="23" t="s">
        <v>103</v>
      </c>
      <c r="E103" s="50" t="s">
        <v>172</v>
      </c>
      <c r="F103" s="3" t="s">
        <v>173</v>
      </c>
      <c r="G103" s="24" t="s">
        <v>415</v>
      </c>
      <c r="H103" s="3" t="s">
        <v>425</v>
      </c>
      <c r="I103" s="3" t="s">
        <v>466</v>
      </c>
      <c r="J103" s="3">
        <f t="shared" si="26"/>
        <v>29</v>
      </c>
      <c r="K103" s="3">
        <f t="shared" si="24"/>
        <v>0</v>
      </c>
      <c r="L103" s="3">
        <f t="shared" si="25"/>
        <v>0</v>
      </c>
      <c r="M103" s="2"/>
      <c r="N103" s="2"/>
      <c r="O103" s="2"/>
      <c r="P103" s="2"/>
    </row>
    <row r="104" spans="1:17" ht="12.75">
      <c r="A104" s="26">
        <v>101</v>
      </c>
      <c r="B104" s="50" t="s">
        <v>297</v>
      </c>
      <c r="C104" s="50">
        <f t="shared" si="21"/>
        <v>101</v>
      </c>
      <c r="D104" s="23" t="s">
        <v>263</v>
      </c>
      <c r="E104" s="50" t="s">
        <v>172</v>
      </c>
      <c r="F104" s="3" t="s">
        <v>173</v>
      </c>
      <c r="G104" s="24" t="s">
        <v>414</v>
      </c>
      <c r="H104" s="3" t="s">
        <v>422</v>
      </c>
      <c r="I104" s="3" t="s">
        <v>468</v>
      </c>
      <c r="J104" s="3">
        <f t="shared" si="26"/>
        <v>29</v>
      </c>
      <c r="K104" s="3">
        <f t="shared" si="24"/>
        <v>0</v>
      </c>
      <c r="L104" s="3">
        <f t="shared" si="25"/>
        <v>0</v>
      </c>
      <c r="M104" s="2"/>
      <c r="N104" s="2"/>
      <c r="O104" s="2"/>
      <c r="P104" s="2"/>
      <c r="Q104" s="2"/>
    </row>
    <row r="105" spans="1:17" ht="12.75">
      <c r="A105" s="26">
        <v>102</v>
      </c>
      <c r="B105" s="50" t="s">
        <v>395</v>
      </c>
      <c r="C105" s="50">
        <f t="shared" si="21"/>
        <v>102</v>
      </c>
      <c r="D105" s="23" t="s">
        <v>261</v>
      </c>
      <c r="E105" s="50" t="s">
        <v>172</v>
      </c>
      <c r="F105" s="3" t="s">
        <v>173</v>
      </c>
      <c r="G105" s="24" t="s">
        <v>413</v>
      </c>
      <c r="H105" s="3" t="s">
        <v>420</v>
      </c>
      <c r="I105" s="3" t="s">
        <v>467</v>
      </c>
      <c r="J105" s="3">
        <f t="shared" si="26"/>
        <v>29</v>
      </c>
      <c r="K105" s="3">
        <f t="shared" si="24"/>
        <v>0</v>
      </c>
      <c r="L105" s="3">
        <f t="shared" si="25"/>
        <v>0</v>
      </c>
      <c r="M105" s="2"/>
      <c r="N105" s="2"/>
      <c r="O105" s="2"/>
      <c r="P105" s="2"/>
      <c r="Q105" s="2"/>
    </row>
    <row r="106" spans="1:17" ht="12.75">
      <c r="A106" s="26">
        <v>103</v>
      </c>
      <c r="B106" s="50" t="s">
        <v>298</v>
      </c>
      <c r="C106" s="50">
        <f t="shared" si="21"/>
        <v>103</v>
      </c>
      <c r="D106" s="23" t="s">
        <v>146</v>
      </c>
      <c r="E106" s="50" t="s">
        <v>168</v>
      </c>
      <c r="F106" s="3" t="s">
        <v>169</v>
      </c>
      <c r="G106" s="24" t="s">
        <v>415</v>
      </c>
      <c r="H106" s="3" t="s">
        <v>423</v>
      </c>
      <c r="I106" s="3" t="s">
        <v>466</v>
      </c>
      <c r="J106" s="3">
        <f t="shared" si="26"/>
        <v>29</v>
      </c>
      <c r="K106" s="3">
        <f t="shared" si="24"/>
        <v>0</v>
      </c>
      <c r="L106" s="3">
        <f t="shared" si="25"/>
        <v>0</v>
      </c>
      <c r="M106" s="2"/>
      <c r="N106" s="2"/>
      <c r="O106" s="2"/>
      <c r="P106" s="2"/>
      <c r="Q106" s="2"/>
    </row>
    <row r="107" spans="1:17" ht="12.75">
      <c r="A107" s="26">
        <v>104</v>
      </c>
      <c r="B107" s="50" t="s">
        <v>299</v>
      </c>
      <c r="C107" s="50">
        <f t="shared" si="21"/>
        <v>104</v>
      </c>
      <c r="D107" s="23" t="s">
        <v>147</v>
      </c>
      <c r="E107" s="50" t="s">
        <v>168</v>
      </c>
      <c r="F107" s="3" t="s">
        <v>169</v>
      </c>
      <c r="G107" s="24" t="s">
        <v>415</v>
      </c>
      <c r="H107" s="3" t="s">
        <v>425</v>
      </c>
      <c r="I107" s="3" t="s">
        <v>466</v>
      </c>
      <c r="J107" s="3">
        <f t="shared" si="26"/>
        <v>29</v>
      </c>
      <c r="K107" s="3">
        <f t="shared" si="24"/>
        <v>0</v>
      </c>
      <c r="L107" s="3">
        <f t="shared" si="25"/>
        <v>0</v>
      </c>
      <c r="M107" s="2"/>
      <c r="N107" s="2"/>
      <c r="O107" s="2"/>
      <c r="P107" s="2"/>
      <c r="Q107" s="2"/>
    </row>
    <row r="108" spans="1:17" ht="12.75">
      <c r="A108" s="26">
        <v>105</v>
      </c>
      <c r="B108" s="50" t="s">
        <v>400</v>
      </c>
      <c r="C108" s="50">
        <f t="shared" si="21"/>
        <v>105</v>
      </c>
      <c r="D108" s="23" t="s">
        <v>262</v>
      </c>
      <c r="E108" s="50" t="s">
        <v>170</v>
      </c>
      <c r="F108" s="3" t="s">
        <v>171</v>
      </c>
      <c r="G108" s="24" t="s">
        <v>412</v>
      </c>
      <c r="H108" s="3" t="s">
        <v>417</v>
      </c>
      <c r="I108" s="3" t="s">
        <v>465</v>
      </c>
      <c r="J108" s="3">
        <f t="shared" si="26"/>
        <v>30</v>
      </c>
      <c r="K108" s="3">
        <f t="shared" si="24"/>
        <v>30</v>
      </c>
      <c r="L108" s="3">
        <f t="shared" si="25"/>
        <v>105</v>
      </c>
      <c r="M108" s="2"/>
      <c r="N108" s="2"/>
      <c r="O108" s="2"/>
      <c r="P108" s="2"/>
      <c r="Q108" s="2"/>
    </row>
    <row r="109" spans="1:17" ht="12.75">
      <c r="A109" s="26">
        <v>106</v>
      </c>
      <c r="B109" s="50" t="s">
        <v>301</v>
      </c>
      <c r="C109" s="50">
        <f t="shared" si="21"/>
        <v>106</v>
      </c>
      <c r="D109" s="23" t="s">
        <v>104</v>
      </c>
      <c r="E109" s="50" t="s">
        <v>168</v>
      </c>
      <c r="F109" s="3" t="s">
        <v>169</v>
      </c>
      <c r="G109" s="24" t="s">
        <v>415</v>
      </c>
      <c r="H109" s="3" t="s">
        <v>425</v>
      </c>
      <c r="I109" s="3" t="s">
        <v>466</v>
      </c>
      <c r="J109" s="3">
        <f t="shared" si="26"/>
        <v>30</v>
      </c>
      <c r="K109" s="3">
        <f t="shared" si="24"/>
        <v>0</v>
      </c>
      <c r="L109" s="3">
        <f t="shared" si="25"/>
        <v>0</v>
      </c>
      <c r="M109" s="2"/>
      <c r="N109" s="2"/>
      <c r="O109" s="2"/>
      <c r="P109" s="2"/>
      <c r="Q109" s="2"/>
    </row>
    <row r="110" spans="1:17" ht="12.75">
      <c r="A110" s="26">
        <v>107</v>
      </c>
      <c r="B110" s="50" t="s">
        <v>334</v>
      </c>
      <c r="C110" s="50">
        <f t="shared" si="21"/>
        <v>107</v>
      </c>
      <c r="D110" s="23" t="s">
        <v>430</v>
      </c>
      <c r="E110" s="50" t="s">
        <v>164</v>
      </c>
      <c r="F110" s="3" t="s">
        <v>165</v>
      </c>
      <c r="G110" s="24" t="s">
        <v>413</v>
      </c>
      <c r="H110" s="3" t="s">
        <v>420</v>
      </c>
      <c r="I110" s="3" t="s">
        <v>467</v>
      </c>
      <c r="J110" s="3">
        <f t="shared" si="26"/>
        <v>30</v>
      </c>
      <c r="K110" s="3">
        <f t="shared" si="24"/>
        <v>0</v>
      </c>
      <c r="L110" s="3">
        <f t="shared" si="25"/>
        <v>0</v>
      </c>
      <c r="M110" s="2"/>
      <c r="N110" s="2"/>
      <c r="O110" s="2"/>
      <c r="P110" s="2"/>
      <c r="Q110" s="2"/>
    </row>
    <row r="111" spans="1:17" ht="12.75">
      <c r="A111" s="26">
        <v>108</v>
      </c>
      <c r="B111" s="50" t="s">
        <v>303</v>
      </c>
      <c r="C111" s="50">
        <f t="shared" si="21"/>
        <v>108</v>
      </c>
      <c r="D111" s="23" t="s">
        <v>237</v>
      </c>
      <c r="E111" s="50" t="s">
        <v>170</v>
      </c>
      <c r="F111" s="3" t="s">
        <v>171</v>
      </c>
      <c r="G111" s="24" t="s">
        <v>412</v>
      </c>
      <c r="H111" s="3" t="s">
        <v>418</v>
      </c>
      <c r="I111" s="3" t="s">
        <v>465</v>
      </c>
      <c r="J111" s="3">
        <f t="shared" si="26"/>
        <v>31</v>
      </c>
      <c r="K111" s="3">
        <f t="shared" si="24"/>
        <v>31</v>
      </c>
      <c r="L111" s="3">
        <f t="shared" si="25"/>
        <v>108</v>
      </c>
      <c r="M111" s="2"/>
      <c r="N111" s="2"/>
      <c r="O111" s="2"/>
      <c r="P111" s="2"/>
      <c r="Q111" s="2"/>
    </row>
    <row r="112" spans="1:17" ht="12.75">
      <c r="A112" s="26">
        <v>109</v>
      </c>
      <c r="B112" s="50" t="s">
        <v>304</v>
      </c>
      <c r="C112" s="50">
        <f t="shared" si="21"/>
        <v>109</v>
      </c>
      <c r="D112" s="23" t="s">
        <v>105</v>
      </c>
      <c r="E112" s="50" t="s">
        <v>168</v>
      </c>
      <c r="F112" s="3" t="s">
        <v>169</v>
      </c>
      <c r="G112" s="24" t="s">
        <v>413</v>
      </c>
      <c r="H112" s="3" t="s">
        <v>419</v>
      </c>
      <c r="I112" s="3" t="s">
        <v>467</v>
      </c>
      <c r="J112" s="3">
        <f t="shared" si="26"/>
        <v>31</v>
      </c>
      <c r="K112" s="3">
        <f t="shared" si="24"/>
        <v>0</v>
      </c>
      <c r="L112" s="3">
        <f t="shared" si="25"/>
        <v>0</v>
      </c>
      <c r="M112" s="2"/>
      <c r="N112" s="2"/>
      <c r="O112" s="2"/>
      <c r="P112" s="2"/>
      <c r="Q112" s="2"/>
    </row>
    <row r="113" spans="1:17" ht="12.75">
      <c r="A113" s="26">
        <v>110</v>
      </c>
      <c r="B113" s="50" t="s">
        <v>336</v>
      </c>
      <c r="C113" s="50">
        <f t="shared" si="21"/>
        <v>110</v>
      </c>
      <c r="D113" s="23" t="s">
        <v>244</v>
      </c>
      <c r="E113" s="50" t="s">
        <v>164</v>
      </c>
      <c r="F113" s="3" t="s">
        <v>165</v>
      </c>
      <c r="G113" s="24" t="s">
        <v>413</v>
      </c>
      <c r="H113" s="3" t="s">
        <v>420</v>
      </c>
      <c r="I113" s="3" t="s">
        <v>467</v>
      </c>
      <c r="J113" s="3">
        <f t="shared" si="26"/>
        <v>31</v>
      </c>
      <c r="K113" s="3">
        <f t="shared" si="24"/>
        <v>0</v>
      </c>
      <c r="L113" s="3">
        <f t="shared" si="25"/>
        <v>0</v>
      </c>
      <c r="M113" s="2"/>
      <c r="N113" s="2"/>
      <c r="O113" s="2"/>
      <c r="P113" s="2"/>
      <c r="Q113" s="2"/>
    </row>
    <row r="114" spans="1:17" ht="12.75">
      <c r="A114" s="26">
        <v>111</v>
      </c>
      <c r="B114" s="50" t="s">
        <v>363</v>
      </c>
      <c r="C114" s="50">
        <f t="shared" si="21"/>
        <v>111</v>
      </c>
      <c r="D114" s="23" t="s">
        <v>254</v>
      </c>
      <c r="E114" s="50" t="s">
        <v>168</v>
      </c>
      <c r="F114" s="3" t="s">
        <v>169</v>
      </c>
      <c r="G114" s="24" t="s">
        <v>415</v>
      </c>
      <c r="H114" s="3" t="s">
        <v>425</v>
      </c>
      <c r="I114" s="3" t="s">
        <v>466</v>
      </c>
      <c r="J114" s="3">
        <f t="shared" si="26"/>
        <v>31</v>
      </c>
      <c r="K114" s="3">
        <f t="shared" si="24"/>
        <v>0</v>
      </c>
      <c r="L114" s="3">
        <f t="shared" si="25"/>
        <v>0</v>
      </c>
      <c r="M114" s="2"/>
      <c r="N114" s="2"/>
      <c r="O114" s="2"/>
      <c r="P114" s="2"/>
      <c r="Q114" s="2"/>
    </row>
    <row r="115" spans="1:12" s="2" customFormat="1" ht="12.75">
      <c r="A115" s="26">
        <v>112</v>
      </c>
      <c r="B115" s="43" t="s">
        <v>117</v>
      </c>
      <c r="C115" s="50">
        <f t="shared" si="21"/>
        <v>112</v>
      </c>
      <c r="D115" s="42" t="s">
        <v>116</v>
      </c>
      <c r="E115" s="43" t="s">
        <v>168</v>
      </c>
      <c r="F115" s="42" t="s">
        <v>169</v>
      </c>
      <c r="G115" s="43" t="s">
        <v>414</v>
      </c>
      <c r="H115" s="42" t="s">
        <v>422</v>
      </c>
      <c r="I115" s="3" t="s">
        <v>468</v>
      </c>
      <c r="J115" s="3">
        <f t="shared" si="26"/>
        <v>31</v>
      </c>
      <c r="K115" s="3">
        <f t="shared" si="24"/>
        <v>0</v>
      </c>
      <c r="L115" s="3">
        <f t="shared" si="25"/>
        <v>0</v>
      </c>
    </row>
    <row r="116" spans="1:12" s="2" customFormat="1" ht="12.75">
      <c r="A116" s="26">
        <v>113</v>
      </c>
      <c r="B116" s="50" t="s">
        <v>306</v>
      </c>
      <c r="C116" s="50">
        <f t="shared" si="21"/>
        <v>113</v>
      </c>
      <c r="D116" s="23" t="s">
        <v>149</v>
      </c>
      <c r="E116" s="50" t="s">
        <v>164</v>
      </c>
      <c r="F116" s="3" t="s">
        <v>165</v>
      </c>
      <c r="G116" s="24" t="s">
        <v>412</v>
      </c>
      <c r="H116" s="3" t="s">
        <v>416</v>
      </c>
      <c r="I116" s="3" t="s">
        <v>465</v>
      </c>
      <c r="J116" s="3">
        <f t="shared" si="26"/>
        <v>32</v>
      </c>
      <c r="K116" s="3">
        <f t="shared" si="24"/>
        <v>32</v>
      </c>
      <c r="L116" s="3">
        <f t="shared" si="25"/>
        <v>113</v>
      </c>
    </row>
    <row r="117" spans="1:12" s="2" customFormat="1" ht="12.75">
      <c r="A117" s="26">
        <v>114</v>
      </c>
      <c r="B117" s="50" t="s">
        <v>307</v>
      </c>
      <c r="C117" s="50">
        <f t="shared" si="21"/>
        <v>114</v>
      </c>
      <c r="D117" s="23" t="s">
        <v>238</v>
      </c>
      <c r="E117" s="50" t="s">
        <v>166</v>
      </c>
      <c r="F117" s="3" t="s">
        <v>167</v>
      </c>
      <c r="G117" s="24" t="s">
        <v>412</v>
      </c>
      <c r="H117" s="3" t="s">
        <v>416</v>
      </c>
      <c r="I117" s="3" t="s">
        <v>465</v>
      </c>
      <c r="J117" s="3">
        <f t="shared" si="26"/>
        <v>33</v>
      </c>
      <c r="K117" s="3">
        <f t="shared" si="24"/>
        <v>33</v>
      </c>
      <c r="L117" s="3">
        <f t="shared" si="25"/>
        <v>114</v>
      </c>
    </row>
    <row r="118" spans="1:12" s="2" customFormat="1" ht="12.75">
      <c r="A118" s="26">
        <v>115</v>
      </c>
      <c r="B118" s="50" t="s">
        <v>308</v>
      </c>
      <c r="C118" s="50">
        <f t="shared" si="21"/>
        <v>115</v>
      </c>
      <c r="D118" s="23" t="s">
        <v>150</v>
      </c>
      <c r="E118" s="50" t="s">
        <v>166</v>
      </c>
      <c r="F118" s="3" t="s">
        <v>167</v>
      </c>
      <c r="G118" s="24" t="s">
        <v>413</v>
      </c>
      <c r="H118" s="3" t="s">
        <v>420</v>
      </c>
      <c r="I118" s="3" t="s">
        <v>467</v>
      </c>
      <c r="J118" s="3">
        <f t="shared" si="26"/>
        <v>33</v>
      </c>
      <c r="K118" s="3">
        <f t="shared" si="24"/>
        <v>0</v>
      </c>
      <c r="L118" s="3">
        <f t="shared" si="25"/>
        <v>0</v>
      </c>
    </row>
    <row r="119" spans="1:12" s="2" customFormat="1" ht="12.75">
      <c r="A119" s="26">
        <v>116</v>
      </c>
      <c r="B119" s="50" t="s">
        <v>366</v>
      </c>
      <c r="C119" s="50">
        <f t="shared" si="21"/>
        <v>116</v>
      </c>
      <c r="D119" s="23" t="s">
        <v>230</v>
      </c>
      <c r="E119" s="50" t="s">
        <v>170</v>
      </c>
      <c r="F119" s="3" t="s">
        <v>171</v>
      </c>
      <c r="G119" s="24" t="s">
        <v>415</v>
      </c>
      <c r="H119" s="3" t="s">
        <v>424</v>
      </c>
      <c r="I119" s="3" t="s">
        <v>466</v>
      </c>
      <c r="J119" s="3">
        <f t="shared" si="26"/>
        <v>33</v>
      </c>
      <c r="K119" s="3">
        <f t="shared" si="24"/>
        <v>0</v>
      </c>
      <c r="L119" s="3">
        <f t="shared" si="25"/>
        <v>0</v>
      </c>
    </row>
    <row r="120" spans="1:12" s="2" customFormat="1" ht="12.75">
      <c r="A120" s="26">
        <v>117</v>
      </c>
      <c r="B120" s="50" t="s">
        <v>309</v>
      </c>
      <c r="C120" s="50">
        <f t="shared" si="21"/>
        <v>117</v>
      </c>
      <c r="D120" s="23" t="s">
        <v>239</v>
      </c>
      <c r="E120" s="50" t="s">
        <v>168</v>
      </c>
      <c r="F120" s="3" t="s">
        <v>169</v>
      </c>
      <c r="G120" s="24" t="s">
        <v>413</v>
      </c>
      <c r="H120" s="3" t="s">
        <v>421</v>
      </c>
      <c r="I120" s="3" t="s">
        <v>467</v>
      </c>
      <c r="J120" s="3">
        <f t="shared" si="26"/>
        <v>33</v>
      </c>
      <c r="K120" s="3">
        <f t="shared" si="24"/>
        <v>0</v>
      </c>
      <c r="L120" s="3">
        <f t="shared" si="25"/>
        <v>0</v>
      </c>
    </row>
    <row r="121" spans="1:12" s="2" customFormat="1" ht="12.75">
      <c r="A121" s="26">
        <v>118</v>
      </c>
      <c r="B121" s="50" t="s">
        <v>310</v>
      </c>
      <c r="C121" s="50">
        <f t="shared" si="21"/>
        <v>118</v>
      </c>
      <c r="D121" s="23" t="s">
        <v>151</v>
      </c>
      <c r="E121" s="50" t="s">
        <v>166</v>
      </c>
      <c r="F121" s="3" t="s">
        <v>167</v>
      </c>
      <c r="G121" s="24" t="s">
        <v>412</v>
      </c>
      <c r="H121" s="3" t="s">
        <v>417</v>
      </c>
      <c r="I121" s="3" t="s">
        <v>465</v>
      </c>
      <c r="J121" s="3">
        <f t="shared" si="26"/>
        <v>34</v>
      </c>
      <c r="K121" s="3">
        <f t="shared" si="24"/>
        <v>34</v>
      </c>
      <c r="L121" s="3">
        <f t="shared" si="25"/>
        <v>118</v>
      </c>
    </row>
    <row r="122" spans="1:12" s="2" customFormat="1" ht="12.75">
      <c r="A122" s="26">
        <v>119</v>
      </c>
      <c r="B122" s="50" t="s">
        <v>397</v>
      </c>
      <c r="C122" s="50">
        <f t="shared" si="21"/>
        <v>119</v>
      </c>
      <c r="D122" s="23" t="s">
        <v>64</v>
      </c>
      <c r="E122" s="50" t="s">
        <v>170</v>
      </c>
      <c r="F122" s="3" t="s">
        <v>171</v>
      </c>
      <c r="G122" s="24" t="s">
        <v>414</v>
      </c>
      <c r="H122" s="3" t="s">
        <v>422</v>
      </c>
      <c r="I122" s="3" t="s">
        <v>468</v>
      </c>
      <c r="J122" s="3">
        <f t="shared" si="26"/>
        <v>34</v>
      </c>
      <c r="K122" s="3">
        <f t="shared" si="24"/>
        <v>0</v>
      </c>
      <c r="L122" s="3">
        <f t="shared" si="25"/>
        <v>0</v>
      </c>
    </row>
    <row r="123" spans="1:12" s="2" customFormat="1" ht="12.75">
      <c r="A123" s="26">
        <v>120</v>
      </c>
      <c r="B123" s="50" t="s">
        <v>311</v>
      </c>
      <c r="C123" s="50">
        <f t="shared" si="21"/>
        <v>120</v>
      </c>
      <c r="D123" s="23" t="s">
        <v>152</v>
      </c>
      <c r="E123" s="50" t="s">
        <v>164</v>
      </c>
      <c r="F123" s="3" t="s">
        <v>165</v>
      </c>
      <c r="G123" s="24" t="s">
        <v>412</v>
      </c>
      <c r="H123" s="3" t="s">
        <v>417</v>
      </c>
      <c r="I123" s="3" t="s">
        <v>465</v>
      </c>
      <c r="J123" s="3">
        <f t="shared" si="26"/>
        <v>35</v>
      </c>
      <c r="K123" s="3">
        <f t="shared" si="24"/>
        <v>35</v>
      </c>
      <c r="L123" s="3">
        <f t="shared" si="25"/>
        <v>120</v>
      </c>
    </row>
    <row r="124" spans="1:12" s="2" customFormat="1" ht="12.75">
      <c r="A124" s="26">
        <v>121</v>
      </c>
      <c r="B124" s="50" t="s">
        <v>341</v>
      </c>
      <c r="C124" s="50">
        <f t="shared" si="21"/>
        <v>121</v>
      </c>
      <c r="D124" s="23" t="s">
        <v>28</v>
      </c>
      <c r="E124" s="50" t="s">
        <v>168</v>
      </c>
      <c r="F124" s="3" t="s">
        <v>169</v>
      </c>
      <c r="G124" s="24" t="s">
        <v>412</v>
      </c>
      <c r="H124" s="3" t="s">
        <v>417</v>
      </c>
      <c r="I124" s="3" t="s">
        <v>465</v>
      </c>
      <c r="J124" s="3">
        <f t="shared" si="26"/>
        <v>36</v>
      </c>
      <c r="K124" s="3">
        <f t="shared" si="24"/>
        <v>36</v>
      </c>
      <c r="L124" s="3">
        <f t="shared" si="25"/>
        <v>121</v>
      </c>
    </row>
    <row r="125" spans="1:12" s="2" customFormat="1" ht="12.75">
      <c r="A125" s="26">
        <v>122</v>
      </c>
      <c r="B125" s="50" t="s">
        <v>407</v>
      </c>
      <c r="C125" s="50">
        <f aca="true" t="shared" si="27" ref="C125:C159">IF(ISBLANK(A125),"",A125)</f>
        <v>122</v>
      </c>
      <c r="D125" s="23" t="s">
        <v>71</v>
      </c>
      <c r="E125" s="50" t="s">
        <v>168</v>
      </c>
      <c r="F125" s="3" t="s">
        <v>169</v>
      </c>
      <c r="G125" s="24" t="s">
        <v>415</v>
      </c>
      <c r="H125" s="3" t="s">
        <v>423</v>
      </c>
      <c r="I125" s="3" t="s">
        <v>466</v>
      </c>
      <c r="J125" s="3">
        <f t="shared" si="26"/>
        <v>36</v>
      </c>
      <c r="K125" s="3">
        <f t="shared" si="24"/>
        <v>0</v>
      </c>
      <c r="L125" s="3">
        <f t="shared" si="25"/>
        <v>0</v>
      </c>
    </row>
    <row r="126" spans="1:12" s="2" customFormat="1" ht="12.75">
      <c r="A126" s="26">
        <v>123</v>
      </c>
      <c r="B126" s="50" t="s">
        <v>312</v>
      </c>
      <c r="C126" s="50">
        <f t="shared" si="27"/>
        <v>123</v>
      </c>
      <c r="D126" s="23" t="s">
        <v>107</v>
      </c>
      <c r="E126" s="50" t="s">
        <v>166</v>
      </c>
      <c r="F126" s="3" t="s">
        <v>167</v>
      </c>
      <c r="G126" s="24" t="s">
        <v>412</v>
      </c>
      <c r="H126" s="3" t="s">
        <v>417</v>
      </c>
      <c r="I126" s="3" t="s">
        <v>465</v>
      </c>
      <c r="J126" s="3">
        <f t="shared" si="26"/>
        <v>37</v>
      </c>
      <c r="K126" s="3">
        <f t="shared" si="24"/>
        <v>37</v>
      </c>
      <c r="L126" s="3">
        <f t="shared" si="25"/>
        <v>123</v>
      </c>
    </row>
    <row r="127" spans="1:12" s="2" customFormat="1" ht="12.75">
      <c r="A127" s="26">
        <v>124</v>
      </c>
      <c r="B127" s="50" t="s">
        <v>313</v>
      </c>
      <c r="C127" s="50">
        <f t="shared" si="27"/>
        <v>124</v>
      </c>
      <c r="D127" s="23" t="s">
        <v>108</v>
      </c>
      <c r="E127" s="50" t="s">
        <v>166</v>
      </c>
      <c r="F127" s="3" t="s">
        <v>167</v>
      </c>
      <c r="G127" s="24" t="s">
        <v>415</v>
      </c>
      <c r="H127" s="3" t="s">
        <v>425</v>
      </c>
      <c r="I127" s="3" t="s">
        <v>466</v>
      </c>
      <c r="J127" s="3">
        <f t="shared" si="26"/>
        <v>37</v>
      </c>
      <c r="K127" s="3">
        <f t="shared" si="24"/>
        <v>0</v>
      </c>
      <c r="L127" s="3">
        <f t="shared" si="25"/>
        <v>0</v>
      </c>
    </row>
    <row r="128" spans="1:12" s="2" customFormat="1" ht="12.75">
      <c r="A128" s="26">
        <v>125</v>
      </c>
      <c r="B128" s="50" t="s">
        <v>267</v>
      </c>
      <c r="C128" s="50">
        <f t="shared" si="27"/>
        <v>125</v>
      </c>
      <c r="D128" s="23" t="s">
        <v>126</v>
      </c>
      <c r="E128" s="50" t="s">
        <v>174</v>
      </c>
      <c r="F128" s="3" t="s">
        <v>175</v>
      </c>
      <c r="G128" s="24" t="s">
        <v>414</v>
      </c>
      <c r="H128" s="3" t="s">
        <v>422</v>
      </c>
      <c r="I128" s="3" t="s">
        <v>468</v>
      </c>
      <c r="J128" s="3">
        <f t="shared" si="26"/>
        <v>37</v>
      </c>
      <c r="K128" s="3">
        <f t="shared" si="24"/>
        <v>0</v>
      </c>
      <c r="L128" s="3">
        <f t="shared" si="25"/>
        <v>0</v>
      </c>
    </row>
    <row r="129" spans="1:12" s="2" customFormat="1" ht="12.75">
      <c r="A129" s="26">
        <v>126</v>
      </c>
      <c r="B129" s="50" t="s">
        <v>273</v>
      </c>
      <c r="C129" s="50">
        <f t="shared" si="27"/>
        <v>126</v>
      </c>
      <c r="D129" s="23" t="s">
        <v>131</v>
      </c>
      <c r="E129" s="50" t="s">
        <v>168</v>
      </c>
      <c r="F129" s="3" t="s">
        <v>169</v>
      </c>
      <c r="G129" s="24" t="s">
        <v>414</v>
      </c>
      <c r="H129" s="3" t="s">
        <v>422</v>
      </c>
      <c r="I129" s="3" t="s">
        <v>468</v>
      </c>
      <c r="J129" s="3">
        <f t="shared" si="26"/>
        <v>37</v>
      </c>
      <c r="K129" s="3">
        <f t="shared" si="24"/>
        <v>0</v>
      </c>
      <c r="L129" s="3">
        <f t="shared" si="25"/>
        <v>0</v>
      </c>
    </row>
    <row r="130" spans="1:12" s="2" customFormat="1" ht="12.75">
      <c r="A130" s="26">
        <v>127</v>
      </c>
      <c r="B130" s="50" t="s">
        <v>361</v>
      </c>
      <c r="C130" s="50">
        <f t="shared" si="27"/>
        <v>127</v>
      </c>
      <c r="D130" s="23" t="s">
        <v>6</v>
      </c>
      <c r="E130" s="50" t="s">
        <v>166</v>
      </c>
      <c r="F130" s="3" t="s">
        <v>167</v>
      </c>
      <c r="G130" s="24" t="s">
        <v>412</v>
      </c>
      <c r="H130" s="3" t="s">
        <v>417</v>
      </c>
      <c r="I130" s="3" t="s">
        <v>465</v>
      </c>
      <c r="J130" s="3">
        <f t="shared" si="26"/>
        <v>38</v>
      </c>
      <c r="K130" s="3">
        <f t="shared" si="24"/>
        <v>38</v>
      </c>
      <c r="L130" s="3">
        <f t="shared" si="25"/>
        <v>127</v>
      </c>
    </row>
    <row r="131" spans="1:12" s="2" customFormat="1" ht="12.75">
      <c r="A131" s="26">
        <v>128</v>
      </c>
      <c r="B131" s="50" t="s">
        <v>278</v>
      </c>
      <c r="C131" s="50">
        <f t="shared" si="27"/>
        <v>128</v>
      </c>
      <c r="D131" s="23" t="s">
        <v>24</v>
      </c>
      <c r="E131" s="50" t="s">
        <v>170</v>
      </c>
      <c r="F131" s="3" t="s">
        <v>171</v>
      </c>
      <c r="G131" s="24" t="s">
        <v>412</v>
      </c>
      <c r="H131" s="3" t="s">
        <v>416</v>
      </c>
      <c r="I131" s="3" t="s">
        <v>465</v>
      </c>
      <c r="J131" s="3">
        <f t="shared" si="26"/>
        <v>39</v>
      </c>
      <c r="K131" s="3">
        <f t="shared" si="24"/>
        <v>39</v>
      </c>
      <c r="L131" s="3">
        <f t="shared" si="25"/>
        <v>128</v>
      </c>
    </row>
    <row r="132" spans="1:12" s="2" customFormat="1" ht="12.75">
      <c r="A132" s="26">
        <v>129</v>
      </c>
      <c r="B132" s="50" t="s">
        <v>290</v>
      </c>
      <c r="C132" s="50">
        <f t="shared" si="27"/>
        <v>129</v>
      </c>
      <c r="D132" s="23" t="s">
        <v>143</v>
      </c>
      <c r="E132" s="50" t="s">
        <v>166</v>
      </c>
      <c r="F132" s="3" t="s">
        <v>167</v>
      </c>
      <c r="G132" s="24" t="s">
        <v>413</v>
      </c>
      <c r="H132" s="3" t="s">
        <v>421</v>
      </c>
      <c r="I132" s="3" t="s">
        <v>467</v>
      </c>
      <c r="J132" s="3">
        <f t="shared" si="26"/>
        <v>39</v>
      </c>
      <c r="K132" s="3">
        <f t="shared" si="24"/>
        <v>0</v>
      </c>
      <c r="L132" s="3">
        <f aca="true" t="shared" si="28" ref="L132:L159">IF(K132=0,0,C132)</f>
        <v>0</v>
      </c>
    </row>
    <row r="133" spans="1:12" s="2" customFormat="1" ht="12.75">
      <c r="A133" s="26">
        <v>130</v>
      </c>
      <c r="B133" s="50" t="s">
        <v>272</v>
      </c>
      <c r="C133" s="50">
        <f t="shared" si="27"/>
        <v>130</v>
      </c>
      <c r="D133" s="23" t="s">
        <v>22</v>
      </c>
      <c r="E133" s="50" t="s">
        <v>166</v>
      </c>
      <c r="F133" s="3" t="s">
        <v>167</v>
      </c>
      <c r="G133" s="24" t="s">
        <v>413</v>
      </c>
      <c r="H133" s="3" t="s">
        <v>421</v>
      </c>
      <c r="I133" s="3" t="s">
        <v>467</v>
      </c>
      <c r="J133" s="3">
        <f aca="true" t="shared" si="29" ref="J133:J159">IF($K$2=B133,J132,IF($N$2=I133,J132+1,J132))</f>
        <v>39</v>
      </c>
      <c r="K133" s="3">
        <f t="shared" si="24"/>
        <v>0</v>
      </c>
      <c r="L133" s="3">
        <f t="shared" si="28"/>
        <v>0</v>
      </c>
    </row>
    <row r="134" spans="1:12" s="2" customFormat="1" ht="12.75">
      <c r="A134" s="26">
        <v>131</v>
      </c>
      <c r="B134" s="50" t="s">
        <v>292</v>
      </c>
      <c r="C134" s="50">
        <f t="shared" si="27"/>
        <v>131</v>
      </c>
      <c r="D134" s="23" t="s">
        <v>235</v>
      </c>
      <c r="E134" s="50" t="s">
        <v>166</v>
      </c>
      <c r="F134" s="3" t="s">
        <v>167</v>
      </c>
      <c r="G134" s="24" t="s">
        <v>412</v>
      </c>
      <c r="H134" s="3" t="s">
        <v>418</v>
      </c>
      <c r="I134" s="3" t="s">
        <v>465</v>
      </c>
      <c r="J134" s="3">
        <f t="shared" si="29"/>
        <v>40</v>
      </c>
      <c r="K134" s="3">
        <f aca="true" t="shared" si="30" ref="K134:K159">IF(J134=J133,0,J134)</f>
        <v>40</v>
      </c>
      <c r="L134" s="3">
        <f t="shared" si="28"/>
        <v>131</v>
      </c>
    </row>
    <row r="135" spans="1:12" s="2" customFormat="1" ht="12.75">
      <c r="A135" s="26">
        <v>132</v>
      </c>
      <c r="B135" s="50" t="s">
        <v>396</v>
      </c>
      <c r="C135" s="50">
        <f t="shared" si="27"/>
        <v>132</v>
      </c>
      <c r="D135" s="23" t="s">
        <v>63</v>
      </c>
      <c r="E135" s="50" t="s">
        <v>172</v>
      </c>
      <c r="F135" s="3" t="s">
        <v>173</v>
      </c>
      <c r="G135" s="24" t="s">
        <v>414</v>
      </c>
      <c r="H135" s="3" t="s">
        <v>422</v>
      </c>
      <c r="I135" s="3" t="s">
        <v>468</v>
      </c>
      <c r="J135" s="3">
        <f t="shared" si="29"/>
        <v>40</v>
      </c>
      <c r="K135" s="3">
        <f t="shared" si="30"/>
        <v>0</v>
      </c>
      <c r="L135" s="3">
        <f t="shared" si="28"/>
        <v>0</v>
      </c>
    </row>
    <row r="136" spans="1:12" s="2" customFormat="1" ht="12.75">
      <c r="A136" s="26">
        <v>133</v>
      </c>
      <c r="B136" s="50" t="s">
        <v>353</v>
      </c>
      <c r="C136" s="50">
        <f t="shared" si="27"/>
        <v>133</v>
      </c>
      <c r="D136" s="23" t="s">
        <v>0</v>
      </c>
      <c r="E136" s="50" t="s">
        <v>164</v>
      </c>
      <c r="F136" s="3" t="s">
        <v>165</v>
      </c>
      <c r="G136" s="24" t="s">
        <v>413</v>
      </c>
      <c r="H136" s="3" t="s">
        <v>420</v>
      </c>
      <c r="I136" s="3" t="s">
        <v>467</v>
      </c>
      <c r="J136" s="3">
        <f t="shared" si="29"/>
        <v>40</v>
      </c>
      <c r="K136" s="3">
        <f t="shared" si="30"/>
        <v>0</v>
      </c>
      <c r="L136" s="3">
        <f t="shared" si="28"/>
        <v>0</v>
      </c>
    </row>
    <row r="137" spans="1:12" s="2" customFormat="1" ht="12.75">
      <c r="A137" s="26">
        <v>134</v>
      </c>
      <c r="B137" s="50" t="s">
        <v>325</v>
      </c>
      <c r="C137" s="50">
        <f t="shared" si="27"/>
        <v>134</v>
      </c>
      <c r="D137" s="23" t="s">
        <v>207</v>
      </c>
      <c r="E137" s="50" t="s">
        <v>168</v>
      </c>
      <c r="F137" s="3" t="s">
        <v>169</v>
      </c>
      <c r="G137" s="24" t="s">
        <v>414</v>
      </c>
      <c r="H137" s="3" t="s">
        <v>422</v>
      </c>
      <c r="I137" s="3" t="s">
        <v>468</v>
      </c>
      <c r="J137" s="3">
        <f t="shared" si="29"/>
        <v>40</v>
      </c>
      <c r="K137" s="3">
        <f t="shared" si="30"/>
        <v>0</v>
      </c>
      <c r="L137" s="3">
        <f t="shared" si="28"/>
        <v>0</v>
      </c>
    </row>
    <row r="138" spans="1:12" s="2" customFormat="1" ht="12.75">
      <c r="A138" s="26">
        <v>135</v>
      </c>
      <c r="B138" s="50" t="s">
        <v>315</v>
      </c>
      <c r="C138" s="50">
        <f t="shared" si="27"/>
        <v>135</v>
      </c>
      <c r="D138" s="23" t="s">
        <v>201</v>
      </c>
      <c r="E138" s="50" t="s">
        <v>164</v>
      </c>
      <c r="F138" s="3" t="s">
        <v>165</v>
      </c>
      <c r="G138" s="24" t="s">
        <v>413</v>
      </c>
      <c r="H138" s="3" t="s">
        <v>419</v>
      </c>
      <c r="I138" s="3" t="s">
        <v>467</v>
      </c>
      <c r="J138" s="3">
        <f t="shared" si="29"/>
        <v>40</v>
      </c>
      <c r="K138" s="3">
        <f t="shared" si="30"/>
        <v>0</v>
      </c>
      <c r="L138" s="3">
        <f t="shared" si="28"/>
        <v>0</v>
      </c>
    </row>
    <row r="139" spans="1:12" s="2" customFormat="1" ht="12.75">
      <c r="A139" s="26">
        <v>136</v>
      </c>
      <c r="B139" s="50" t="s">
        <v>316</v>
      </c>
      <c r="C139" s="50">
        <f t="shared" si="27"/>
        <v>136</v>
      </c>
      <c r="D139" s="23" t="s">
        <v>240</v>
      </c>
      <c r="E139" s="50" t="s">
        <v>170</v>
      </c>
      <c r="F139" s="3" t="s">
        <v>171</v>
      </c>
      <c r="G139" s="24" t="s">
        <v>414</v>
      </c>
      <c r="H139" s="3" t="s">
        <v>422</v>
      </c>
      <c r="I139" s="3" t="s">
        <v>468</v>
      </c>
      <c r="J139" s="3">
        <f t="shared" si="29"/>
        <v>40</v>
      </c>
      <c r="K139" s="3">
        <f t="shared" si="30"/>
        <v>0</v>
      </c>
      <c r="L139" s="3">
        <f t="shared" si="28"/>
        <v>0</v>
      </c>
    </row>
    <row r="140" spans="1:12" s="2" customFormat="1" ht="12.75">
      <c r="A140" s="26">
        <v>137</v>
      </c>
      <c r="B140" s="50" t="s">
        <v>374</v>
      </c>
      <c r="C140" s="50">
        <f t="shared" si="27"/>
        <v>137</v>
      </c>
      <c r="D140" s="23" t="s">
        <v>47</v>
      </c>
      <c r="E140" s="50" t="s">
        <v>170</v>
      </c>
      <c r="F140" s="3" t="s">
        <v>171</v>
      </c>
      <c r="G140" s="24" t="s">
        <v>413</v>
      </c>
      <c r="H140" s="3" t="s">
        <v>420</v>
      </c>
      <c r="I140" s="3" t="s">
        <v>467</v>
      </c>
      <c r="J140" s="3">
        <f t="shared" si="29"/>
        <v>40</v>
      </c>
      <c r="K140" s="3">
        <f t="shared" si="30"/>
        <v>0</v>
      </c>
      <c r="L140" s="3">
        <f t="shared" si="28"/>
        <v>0</v>
      </c>
    </row>
    <row r="141" spans="1:12" s="2" customFormat="1" ht="12.75">
      <c r="A141" s="26">
        <v>138</v>
      </c>
      <c r="B141" s="50" t="s">
        <v>282</v>
      </c>
      <c r="C141" s="50">
        <f t="shared" si="27"/>
        <v>138</v>
      </c>
      <c r="D141" s="23" t="s">
        <v>134</v>
      </c>
      <c r="E141" s="50" t="s">
        <v>164</v>
      </c>
      <c r="F141" s="3" t="s">
        <v>165</v>
      </c>
      <c r="G141" s="24" t="s">
        <v>413</v>
      </c>
      <c r="H141" s="3" t="s">
        <v>420</v>
      </c>
      <c r="I141" s="3" t="s">
        <v>467</v>
      </c>
      <c r="J141" s="3">
        <f t="shared" si="29"/>
        <v>40</v>
      </c>
      <c r="K141" s="3">
        <f t="shared" si="30"/>
        <v>0</v>
      </c>
      <c r="L141" s="3">
        <f t="shared" si="28"/>
        <v>0</v>
      </c>
    </row>
    <row r="142" spans="1:12" s="2" customFormat="1" ht="12.75">
      <c r="A142" s="26">
        <v>139</v>
      </c>
      <c r="B142" s="50" t="s">
        <v>305</v>
      </c>
      <c r="C142" s="50">
        <f t="shared" si="27"/>
        <v>139</v>
      </c>
      <c r="D142" s="23" t="s">
        <v>106</v>
      </c>
      <c r="E142" s="50" t="s">
        <v>170</v>
      </c>
      <c r="F142" s="3" t="s">
        <v>171</v>
      </c>
      <c r="G142" s="24" t="s">
        <v>412</v>
      </c>
      <c r="H142" s="3" t="s">
        <v>417</v>
      </c>
      <c r="I142" s="3" t="s">
        <v>465</v>
      </c>
      <c r="J142" s="3">
        <f t="shared" si="29"/>
        <v>41</v>
      </c>
      <c r="K142" s="3">
        <f t="shared" si="30"/>
        <v>41</v>
      </c>
      <c r="L142" s="3">
        <f t="shared" si="28"/>
        <v>139</v>
      </c>
    </row>
    <row r="143" spans="1:12" s="2" customFormat="1" ht="12.75">
      <c r="A143" s="26">
        <v>140</v>
      </c>
      <c r="B143" s="50" t="s">
        <v>314</v>
      </c>
      <c r="C143" s="50">
        <f t="shared" si="27"/>
        <v>140</v>
      </c>
      <c r="D143" s="23" t="s">
        <v>109</v>
      </c>
      <c r="E143" s="50" t="s">
        <v>170</v>
      </c>
      <c r="F143" s="3" t="s">
        <v>171</v>
      </c>
      <c r="G143" s="24" t="s">
        <v>415</v>
      </c>
      <c r="H143" s="3" t="s">
        <v>425</v>
      </c>
      <c r="I143" s="3" t="s">
        <v>466</v>
      </c>
      <c r="J143" s="3">
        <f t="shared" si="29"/>
        <v>41</v>
      </c>
      <c r="K143" s="3">
        <f t="shared" si="30"/>
        <v>0</v>
      </c>
      <c r="L143" s="3">
        <f t="shared" si="28"/>
        <v>0</v>
      </c>
    </row>
    <row r="144" spans="1:12" s="2" customFormat="1" ht="12.75">
      <c r="A144" s="26">
        <v>141</v>
      </c>
      <c r="B144" s="50" t="s">
        <v>317</v>
      </c>
      <c r="C144" s="50">
        <f t="shared" si="27"/>
        <v>141</v>
      </c>
      <c r="D144" s="23" t="s">
        <v>202</v>
      </c>
      <c r="E144" s="50" t="s">
        <v>170</v>
      </c>
      <c r="F144" s="3" t="s">
        <v>171</v>
      </c>
      <c r="G144" s="24" t="s">
        <v>413</v>
      </c>
      <c r="H144" s="3" t="s">
        <v>420</v>
      </c>
      <c r="I144" s="3" t="s">
        <v>467</v>
      </c>
      <c r="J144" s="3">
        <f t="shared" si="29"/>
        <v>41</v>
      </c>
      <c r="K144" s="3">
        <f t="shared" si="30"/>
        <v>0</v>
      </c>
      <c r="L144" s="3">
        <f t="shared" si="28"/>
        <v>0</v>
      </c>
    </row>
    <row r="145" spans="1:12" s="2" customFormat="1" ht="12.75">
      <c r="A145" s="26">
        <v>142</v>
      </c>
      <c r="B145" s="50" t="s">
        <v>318</v>
      </c>
      <c r="C145" s="50">
        <f t="shared" si="27"/>
        <v>142</v>
      </c>
      <c r="D145" s="23" t="s">
        <v>203</v>
      </c>
      <c r="E145" s="50" t="s">
        <v>170</v>
      </c>
      <c r="F145" s="3" t="s">
        <v>171</v>
      </c>
      <c r="G145" s="24" t="s">
        <v>413</v>
      </c>
      <c r="H145" s="3" t="s">
        <v>419</v>
      </c>
      <c r="I145" s="3" t="s">
        <v>467</v>
      </c>
      <c r="J145" s="3">
        <f t="shared" si="29"/>
        <v>41</v>
      </c>
      <c r="K145" s="3">
        <f t="shared" si="30"/>
        <v>0</v>
      </c>
      <c r="L145" s="3">
        <f t="shared" si="28"/>
        <v>0</v>
      </c>
    </row>
    <row r="146" spans="1:12" s="2" customFormat="1" ht="12.75">
      <c r="A146" s="26">
        <v>143</v>
      </c>
      <c r="B146" s="50" t="s">
        <v>277</v>
      </c>
      <c r="C146" s="50">
        <f t="shared" si="27"/>
        <v>143</v>
      </c>
      <c r="D146" s="23" t="s">
        <v>98</v>
      </c>
      <c r="E146" s="50" t="s">
        <v>164</v>
      </c>
      <c r="F146" s="3" t="s">
        <v>165</v>
      </c>
      <c r="G146" s="24" t="s">
        <v>412</v>
      </c>
      <c r="H146" s="3" t="s">
        <v>417</v>
      </c>
      <c r="I146" s="3" t="s">
        <v>465</v>
      </c>
      <c r="J146" s="3">
        <f t="shared" si="29"/>
        <v>42</v>
      </c>
      <c r="K146" s="3">
        <f t="shared" si="30"/>
        <v>42</v>
      </c>
      <c r="L146" s="3">
        <f t="shared" si="28"/>
        <v>143</v>
      </c>
    </row>
    <row r="147" spans="1:12" s="2" customFormat="1" ht="12.75">
      <c r="A147" s="26">
        <v>144</v>
      </c>
      <c r="B147" s="50" t="s">
        <v>319</v>
      </c>
      <c r="C147" s="50">
        <f t="shared" si="27"/>
        <v>144</v>
      </c>
      <c r="D147" s="23" t="s">
        <v>204</v>
      </c>
      <c r="E147" s="50" t="s">
        <v>168</v>
      </c>
      <c r="F147" s="3" t="s">
        <v>169</v>
      </c>
      <c r="G147" s="24" t="s">
        <v>413</v>
      </c>
      <c r="H147" s="3" t="s">
        <v>420</v>
      </c>
      <c r="I147" s="3" t="s">
        <v>467</v>
      </c>
      <c r="J147" s="3">
        <f t="shared" si="29"/>
        <v>42</v>
      </c>
      <c r="K147" s="3">
        <f t="shared" si="30"/>
        <v>0</v>
      </c>
      <c r="L147" s="3">
        <f t="shared" si="28"/>
        <v>0</v>
      </c>
    </row>
    <row r="148" spans="1:12" s="2" customFormat="1" ht="12.75">
      <c r="A148" s="26">
        <v>145</v>
      </c>
      <c r="B148" s="50" t="s">
        <v>320</v>
      </c>
      <c r="C148" s="50">
        <f t="shared" si="27"/>
        <v>145</v>
      </c>
      <c r="D148" s="23" t="s">
        <v>205</v>
      </c>
      <c r="E148" s="50" t="s">
        <v>172</v>
      </c>
      <c r="F148" s="3" t="s">
        <v>173</v>
      </c>
      <c r="G148" s="24" t="s">
        <v>412</v>
      </c>
      <c r="H148" s="3" t="s">
        <v>417</v>
      </c>
      <c r="I148" s="3" t="s">
        <v>465</v>
      </c>
      <c r="J148" s="3">
        <f t="shared" si="29"/>
        <v>43</v>
      </c>
      <c r="K148" s="3">
        <f t="shared" si="30"/>
        <v>43</v>
      </c>
      <c r="L148" s="3">
        <f t="shared" si="28"/>
        <v>145</v>
      </c>
    </row>
    <row r="149" spans="1:12" s="2" customFormat="1" ht="12.75">
      <c r="A149" s="26">
        <v>146</v>
      </c>
      <c r="B149" s="50" t="s">
        <v>372</v>
      </c>
      <c r="C149" s="50">
        <f t="shared" si="27"/>
        <v>146</v>
      </c>
      <c r="D149" s="23" t="s">
        <v>256</v>
      </c>
      <c r="E149" s="50" t="s">
        <v>168</v>
      </c>
      <c r="F149" s="3" t="s">
        <v>169</v>
      </c>
      <c r="G149" s="24" t="s">
        <v>412</v>
      </c>
      <c r="H149" s="3" t="s">
        <v>417</v>
      </c>
      <c r="I149" s="3" t="s">
        <v>465</v>
      </c>
      <c r="J149" s="3">
        <f t="shared" si="29"/>
        <v>44</v>
      </c>
      <c r="K149" s="3">
        <f t="shared" si="30"/>
        <v>44</v>
      </c>
      <c r="L149" s="3">
        <f t="shared" si="28"/>
        <v>146</v>
      </c>
    </row>
    <row r="150" spans="1:12" s="2" customFormat="1" ht="12.75">
      <c r="A150" s="26">
        <v>147</v>
      </c>
      <c r="B150" s="50" t="s">
        <v>398</v>
      </c>
      <c r="C150" s="50">
        <f t="shared" si="27"/>
        <v>147</v>
      </c>
      <c r="D150" s="23" t="s">
        <v>65</v>
      </c>
      <c r="E150" s="50" t="s">
        <v>164</v>
      </c>
      <c r="F150" s="3" t="s">
        <v>165</v>
      </c>
      <c r="G150" s="24" t="s">
        <v>413</v>
      </c>
      <c r="H150" s="3" t="s">
        <v>421</v>
      </c>
      <c r="I150" s="3" t="s">
        <v>467</v>
      </c>
      <c r="J150" s="3">
        <f t="shared" si="29"/>
        <v>44</v>
      </c>
      <c r="K150" s="3">
        <f t="shared" si="30"/>
        <v>0</v>
      </c>
      <c r="L150" s="3">
        <f t="shared" si="28"/>
        <v>0</v>
      </c>
    </row>
    <row r="151" spans="1:12" s="2" customFormat="1" ht="12.75">
      <c r="A151" s="26">
        <v>148</v>
      </c>
      <c r="B151" s="50" t="s">
        <v>322</v>
      </c>
      <c r="C151" s="50">
        <f t="shared" si="27"/>
        <v>148</v>
      </c>
      <c r="D151" s="23" t="s">
        <v>241</v>
      </c>
      <c r="E151" s="50" t="s">
        <v>166</v>
      </c>
      <c r="F151" s="3" t="s">
        <v>167</v>
      </c>
      <c r="G151" s="24" t="s">
        <v>414</v>
      </c>
      <c r="H151" s="3" t="s">
        <v>422</v>
      </c>
      <c r="I151" s="3" t="s">
        <v>468</v>
      </c>
      <c r="J151" s="3">
        <f t="shared" si="29"/>
        <v>44</v>
      </c>
      <c r="K151" s="3">
        <f t="shared" si="30"/>
        <v>0</v>
      </c>
      <c r="L151" s="3">
        <f t="shared" si="28"/>
        <v>0</v>
      </c>
    </row>
    <row r="152" spans="1:12" s="2" customFormat="1" ht="12.75">
      <c r="A152" s="26">
        <v>149</v>
      </c>
      <c r="B152" s="50" t="s">
        <v>323</v>
      </c>
      <c r="C152" s="50">
        <f t="shared" si="27"/>
        <v>149</v>
      </c>
      <c r="D152" s="23" t="s">
        <v>111</v>
      </c>
      <c r="E152" s="50" t="s">
        <v>166</v>
      </c>
      <c r="F152" s="3" t="s">
        <v>167</v>
      </c>
      <c r="G152" s="24" t="s">
        <v>413</v>
      </c>
      <c r="H152" s="3" t="s">
        <v>421</v>
      </c>
      <c r="I152" s="3" t="s">
        <v>467</v>
      </c>
      <c r="J152" s="3">
        <f t="shared" si="29"/>
        <v>44</v>
      </c>
      <c r="K152" s="3">
        <f t="shared" si="30"/>
        <v>0</v>
      </c>
      <c r="L152" s="3">
        <f t="shared" si="28"/>
        <v>0</v>
      </c>
    </row>
    <row r="153" spans="1:12" s="2" customFormat="1" ht="12.75">
      <c r="A153" s="26">
        <v>150</v>
      </c>
      <c r="B153" s="43" t="s">
        <v>115</v>
      </c>
      <c r="C153" s="50">
        <f t="shared" si="27"/>
        <v>150</v>
      </c>
      <c r="D153" s="196" t="s">
        <v>114</v>
      </c>
      <c r="E153" s="197"/>
      <c r="F153" s="196"/>
      <c r="G153" s="43" t="s">
        <v>415</v>
      </c>
      <c r="H153" s="42" t="s">
        <v>423</v>
      </c>
      <c r="I153" s="3" t="s">
        <v>466</v>
      </c>
      <c r="J153" s="3">
        <f t="shared" si="29"/>
        <v>44</v>
      </c>
      <c r="K153" s="3">
        <f t="shared" si="30"/>
        <v>0</v>
      </c>
      <c r="L153" s="3">
        <f t="shared" si="28"/>
        <v>0</v>
      </c>
    </row>
    <row r="154" spans="1:12" s="2" customFormat="1" ht="12.75">
      <c r="A154" s="26">
        <v>151</v>
      </c>
      <c r="B154" s="50" t="s">
        <v>324</v>
      </c>
      <c r="C154" s="50">
        <f t="shared" si="27"/>
        <v>151</v>
      </c>
      <c r="D154" s="23" t="s">
        <v>206</v>
      </c>
      <c r="E154" s="50" t="s">
        <v>166</v>
      </c>
      <c r="F154" s="3" t="s">
        <v>167</v>
      </c>
      <c r="G154" s="24" t="s">
        <v>415</v>
      </c>
      <c r="H154" s="3" t="s">
        <v>425</v>
      </c>
      <c r="I154" s="3" t="s">
        <v>466</v>
      </c>
      <c r="J154" s="3">
        <f t="shared" si="29"/>
        <v>44</v>
      </c>
      <c r="K154" s="3">
        <f t="shared" si="30"/>
        <v>0</v>
      </c>
      <c r="L154" s="3">
        <f t="shared" si="28"/>
        <v>0</v>
      </c>
    </row>
    <row r="155" spans="1:12" s="2" customFormat="1" ht="12.75">
      <c r="A155" s="26">
        <v>152</v>
      </c>
      <c r="B155" s="50" t="s">
        <v>343</v>
      </c>
      <c r="C155" s="50">
        <f t="shared" si="27"/>
        <v>152</v>
      </c>
      <c r="D155" s="23" t="s">
        <v>249</v>
      </c>
      <c r="E155" s="50" t="s">
        <v>170</v>
      </c>
      <c r="F155" s="3" t="s">
        <v>171</v>
      </c>
      <c r="G155" s="24" t="s">
        <v>412</v>
      </c>
      <c r="H155" s="3" t="s">
        <v>417</v>
      </c>
      <c r="I155" s="3" t="s">
        <v>465</v>
      </c>
      <c r="J155" s="3">
        <f t="shared" si="29"/>
        <v>45</v>
      </c>
      <c r="K155" s="3">
        <f t="shared" si="30"/>
        <v>45</v>
      </c>
      <c r="L155" s="3">
        <f t="shared" si="28"/>
        <v>152</v>
      </c>
    </row>
    <row r="156" spans="1:12" s="2" customFormat="1" ht="12.75">
      <c r="A156" s="26">
        <v>153</v>
      </c>
      <c r="B156" s="50" t="s">
        <v>342</v>
      </c>
      <c r="C156" s="50">
        <f t="shared" si="27"/>
        <v>153</v>
      </c>
      <c r="D156" s="23" t="s">
        <v>224</v>
      </c>
      <c r="E156" s="50" t="s">
        <v>164</v>
      </c>
      <c r="F156" s="3" t="s">
        <v>165</v>
      </c>
      <c r="G156" s="24" t="s">
        <v>413</v>
      </c>
      <c r="H156" s="3" t="s">
        <v>420</v>
      </c>
      <c r="I156" s="3" t="s">
        <v>467</v>
      </c>
      <c r="J156" s="3">
        <f t="shared" si="29"/>
        <v>45</v>
      </c>
      <c r="K156" s="3">
        <f t="shared" si="30"/>
        <v>0</v>
      </c>
      <c r="L156" s="3">
        <f t="shared" si="28"/>
        <v>0</v>
      </c>
    </row>
    <row r="157" spans="1:12" s="2" customFormat="1" ht="12.75">
      <c r="A157" s="26">
        <v>154</v>
      </c>
      <c r="B157" s="50" t="s">
        <v>356</v>
      </c>
      <c r="C157" s="50">
        <f t="shared" si="27"/>
        <v>154</v>
      </c>
      <c r="D157" s="23" t="s">
        <v>253</v>
      </c>
      <c r="E157" s="50" t="s">
        <v>168</v>
      </c>
      <c r="F157" s="3" t="s">
        <v>169</v>
      </c>
      <c r="G157" s="24" t="s">
        <v>412</v>
      </c>
      <c r="H157" s="3" t="s">
        <v>417</v>
      </c>
      <c r="I157" s="3" t="s">
        <v>465</v>
      </c>
      <c r="J157" s="3">
        <f t="shared" si="29"/>
        <v>46</v>
      </c>
      <c r="K157" s="3">
        <f t="shared" si="30"/>
        <v>46</v>
      </c>
      <c r="L157" s="3">
        <f t="shared" si="28"/>
        <v>154</v>
      </c>
    </row>
    <row r="158" spans="1:12" s="2" customFormat="1" ht="12.75">
      <c r="A158" s="26">
        <v>155</v>
      </c>
      <c r="B158" s="50" t="s">
        <v>91</v>
      </c>
      <c r="C158" s="50">
        <f t="shared" si="27"/>
        <v>155</v>
      </c>
      <c r="D158" s="23" t="s">
        <v>20</v>
      </c>
      <c r="E158" s="50" t="s">
        <v>166</v>
      </c>
      <c r="F158" s="3" t="s">
        <v>167</v>
      </c>
      <c r="G158" s="24" t="s">
        <v>415</v>
      </c>
      <c r="H158" s="3" t="s">
        <v>425</v>
      </c>
      <c r="I158" s="3" t="s">
        <v>466</v>
      </c>
      <c r="J158" s="3">
        <f t="shared" si="29"/>
        <v>46</v>
      </c>
      <c r="K158" s="3">
        <f t="shared" si="30"/>
        <v>0</v>
      </c>
      <c r="L158" s="3">
        <f t="shared" si="28"/>
        <v>0</v>
      </c>
    </row>
    <row r="159" spans="1:12" s="2" customFormat="1" ht="12.75">
      <c r="A159" s="26">
        <v>156</v>
      </c>
      <c r="B159" s="50" t="s">
        <v>375</v>
      </c>
      <c r="C159" s="50">
        <f t="shared" si="27"/>
        <v>156</v>
      </c>
      <c r="D159" s="23" t="s">
        <v>257</v>
      </c>
      <c r="E159" s="50" t="s">
        <v>168</v>
      </c>
      <c r="F159" s="3" t="s">
        <v>169</v>
      </c>
      <c r="G159" s="24" t="s">
        <v>412</v>
      </c>
      <c r="H159" s="3" t="s">
        <v>418</v>
      </c>
      <c r="I159" s="3" t="s">
        <v>465</v>
      </c>
      <c r="J159" s="3">
        <f t="shared" si="29"/>
        <v>47</v>
      </c>
      <c r="K159" s="3">
        <f t="shared" si="30"/>
        <v>47</v>
      </c>
      <c r="L159" s="3">
        <f t="shared" si="28"/>
        <v>156</v>
      </c>
    </row>
    <row r="160" spans="1:13" s="2" customFormat="1" ht="12.75">
      <c r="A160" s="226" t="s">
        <v>474</v>
      </c>
      <c r="B160" s="170" t="s">
        <v>390</v>
      </c>
      <c r="C160" s="170">
        <f aca="true" t="shared" si="31" ref="C160:C171">IF(ISBLANK(A164),"",A164)</f>
      </c>
      <c r="D160" s="165" t="s">
        <v>61</v>
      </c>
      <c r="E160" s="170" t="s">
        <v>170</v>
      </c>
      <c r="F160" s="165" t="s">
        <v>171</v>
      </c>
      <c r="G160" s="170" t="s">
        <v>414</v>
      </c>
      <c r="H160" s="165" t="s">
        <v>422</v>
      </c>
      <c r="I160" s="165" t="s">
        <v>468</v>
      </c>
      <c r="J160" s="165"/>
      <c r="K160" s="165"/>
      <c r="L160" s="165"/>
      <c r="M160" s="226" t="s">
        <v>491</v>
      </c>
    </row>
    <row r="161" spans="1:16" s="2" customFormat="1" ht="12.75">
      <c r="A161" s="171"/>
      <c r="B161" s="170" t="s">
        <v>373</v>
      </c>
      <c r="C161" s="170">
        <f t="shared" si="31"/>
      </c>
      <c r="D161" s="165" t="s">
        <v>233</v>
      </c>
      <c r="E161" s="170" t="s">
        <v>168</v>
      </c>
      <c r="F161" s="165" t="s">
        <v>169</v>
      </c>
      <c r="G161" s="170" t="s">
        <v>414</v>
      </c>
      <c r="H161" s="165" t="s">
        <v>422</v>
      </c>
      <c r="I161" s="165" t="s">
        <v>468</v>
      </c>
      <c r="J161" s="165"/>
      <c r="K161" s="165"/>
      <c r="L161" s="165"/>
      <c r="M161"/>
      <c r="N161"/>
      <c r="O161"/>
      <c r="P161"/>
    </row>
    <row r="162" spans="1:16" s="2" customFormat="1" ht="12.75">
      <c r="A162" s="171"/>
      <c r="B162" s="170" t="s">
        <v>279</v>
      </c>
      <c r="C162" s="170">
        <f t="shared" si="31"/>
      </c>
      <c r="D162" s="165" t="s">
        <v>25</v>
      </c>
      <c r="E162" s="170" t="s">
        <v>168</v>
      </c>
      <c r="F162" s="165" t="s">
        <v>169</v>
      </c>
      <c r="G162" s="170" t="s">
        <v>414</v>
      </c>
      <c r="H162" s="165" t="s">
        <v>422</v>
      </c>
      <c r="I162" s="165" t="s">
        <v>468</v>
      </c>
      <c r="J162" s="165"/>
      <c r="K162" s="165"/>
      <c r="L162" s="165"/>
      <c r="M162"/>
      <c r="N162"/>
      <c r="O162"/>
      <c r="P162"/>
    </row>
    <row r="163" spans="1:16" s="2" customFormat="1" ht="12.75">
      <c r="A163" s="171"/>
      <c r="B163" s="170" t="s">
        <v>287</v>
      </c>
      <c r="C163" s="170">
        <f t="shared" si="31"/>
      </c>
      <c r="D163" s="165" t="s">
        <v>137</v>
      </c>
      <c r="E163" s="170" t="s">
        <v>172</v>
      </c>
      <c r="F163" s="165" t="s">
        <v>173</v>
      </c>
      <c r="G163" s="170" t="s">
        <v>415</v>
      </c>
      <c r="H163" s="165" t="s">
        <v>424</v>
      </c>
      <c r="I163" s="165" t="s">
        <v>466</v>
      </c>
      <c r="J163" s="165"/>
      <c r="K163" s="165"/>
      <c r="L163" s="165"/>
      <c r="M163"/>
      <c r="N163"/>
      <c r="O163"/>
      <c r="P163"/>
    </row>
    <row r="164" spans="1:16" s="2" customFormat="1" ht="12.75">
      <c r="A164" s="208"/>
      <c r="B164" s="170" t="s">
        <v>358</v>
      </c>
      <c r="C164" s="170">
        <f t="shared" si="31"/>
      </c>
      <c r="D164" s="165" t="s">
        <v>3</v>
      </c>
      <c r="E164" s="170" t="s">
        <v>168</v>
      </c>
      <c r="F164" s="165" t="s">
        <v>169</v>
      </c>
      <c r="G164" s="170" t="s">
        <v>414</v>
      </c>
      <c r="H164" s="165" t="s">
        <v>422</v>
      </c>
      <c r="I164" s="165" t="s">
        <v>468</v>
      </c>
      <c r="J164" s="165"/>
      <c r="K164" s="165"/>
      <c r="L164" s="165"/>
      <c r="M164"/>
      <c r="N164"/>
      <c r="O164"/>
      <c r="P164"/>
    </row>
    <row r="165" spans="1:16" s="2" customFormat="1" ht="12.75">
      <c r="A165" s="208"/>
      <c r="B165" s="170" t="s">
        <v>402</v>
      </c>
      <c r="C165" s="170">
        <f t="shared" si="31"/>
      </c>
      <c r="D165" s="165" t="s">
        <v>68</v>
      </c>
      <c r="E165" s="170" t="s">
        <v>166</v>
      </c>
      <c r="F165" s="165" t="s">
        <v>167</v>
      </c>
      <c r="G165" s="170" t="s">
        <v>414</v>
      </c>
      <c r="H165" s="165" t="s">
        <v>422</v>
      </c>
      <c r="I165" s="165" t="s">
        <v>468</v>
      </c>
      <c r="J165" s="165"/>
      <c r="K165" s="165"/>
      <c r="L165" s="165"/>
      <c r="M165"/>
      <c r="N165"/>
      <c r="O165"/>
      <c r="P165"/>
    </row>
    <row r="166" spans="1:16" s="2" customFormat="1" ht="12.75">
      <c r="A166" s="208"/>
      <c r="B166" s="170" t="s">
        <v>399</v>
      </c>
      <c r="C166" s="170">
        <f t="shared" si="31"/>
      </c>
      <c r="D166" s="165" t="s">
        <v>66</v>
      </c>
      <c r="E166" s="170" t="s">
        <v>174</v>
      </c>
      <c r="F166" s="165" t="s">
        <v>175</v>
      </c>
      <c r="G166" s="170" t="s">
        <v>412</v>
      </c>
      <c r="H166" s="165" t="s">
        <v>417</v>
      </c>
      <c r="I166" s="165" t="s">
        <v>465</v>
      </c>
      <c r="J166" s="165"/>
      <c r="K166" s="165"/>
      <c r="L166" s="165"/>
      <c r="M166"/>
      <c r="N166"/>
      <c r="O166"/>
      <c r="P166"/>
    </row>
    <row r="167" spans="1:16" s="2" customFormat="1" ht="12.75">
      <c r="A167" s="208"/>
      <c r="B167" s="170" t="s">
        <v>354</v>
      </c>
      <c r="C167" s="170">
        <f t="shared" si="31"/>
      </c>
      <c r="D167" s="165" t="s">
        <v>1</v>
      </c>
      <c r="E167" s="170" t="s">
        <v>168</v>
      </c>
      <c r="F167" s="165" t="s">
        <v>169</v>
      </c>
      <c r="G167" s="170" t="s">
        <v>414</v>
      </c>
      <c r="H167" s="165" t="s">
        <v>422</v>
      </c>
      <c r="I167" s="165" t="s">
        <v>468</v>
      </c>
      <c r="J167" s="165"/>
      <c r="K167" s="165"/>
      <c r="L167" s="165"/>
      <c r="M167"/>
      <c r="N167"/>
      <c r="O167"/>
      <c r="P167"/>
    </row>
    <row r="168" spans="1:16" s="2" customFormat="1" ht="12.75">
      <c r="A168" s="208"/>
      <c r="B168" s="170" t="s">
        <v>376</v>
      </c>
      <c r="C168" s="170">
        <f t="shared" si="31"/>
      </c>
      <c r="D168" s="165" t="s">
        <v>234</v>
      </c>
      <c r="E168" s="170" t="s">
        <v>166</v>
      </c>
      <c r="F168" s="165" t="s">
        <v>167</v>
      </c>
      <c r="G168" s="170" t="s">
        <v>415</v>
      </c>
      <c r="H168" s="165" t="s">
        <v>424</v>
      </c>
      <c r="I168" s="165" t="s">
        <v>466</v>
      </c>
      <c r="J168" s="165"/>
      <c r="K168" s="165"/>
      <c r="L168" s="165"/>
      <c r="M168"/>
      <c r="N168"/>
      <c r="O168"/>
      <c r="P168"/>
    </row>
    <row r="169" spans="1:16" s="2" customFormat="1" ht="12.75">
      <c r="A169" s="208"/>
      <c r="B169" s="170" t="s">
        <v>379</v>
      </c>
      <c r="C169" s="170">
        <f t="shared" si="31"/>
      </c>
      <c r="D169" s="165" t="s">
        <v>15</v>
      </c>
      <c r="E169" s="170" t="s">
        <v>168</v>
      </c>
      <c r="F169" s="165" t="s">
        <v>169</v>
      </c>
      <c r="G169" s="170" t="s">
        <v>415</v>
      </c>
      <c r="H169" s="165" t="s">
        <v>423</v>
      </c>
      <c r="I169" s="165" t="s">
        <v>466</v>
      </c>
      <c r="J169" s="165"/>
      <c r="K169" s="165"/>
      <c r="L169" s="165"/>
      <c r="M169"/>
      <c r="N169"/>
      <c r="O169"/>
      <c r="P169"/>
    </row>
    <row r="170" spans="1:16" s="2" customFormat="1" ht="12.75">
      <c r="A170" s="208"/>
      <c r="B170" s="170" t="s">
        <v>300</v>
      </c>
      <c r="C170" s="170">
        <f t="shared" si="31"/>
      </c>
      <c r="D170" s="165" t="s">
        <v>148</v>
      </c>
      <c r="E170" s="170" t="s">
        <v>166</v>
      </c>
      <c r="F170" s="165" t="s">
        <v>167</v>
      </c>
      <c r="G170" s="170" t="s">
        <v>415</v>
      </c>
      <c r="H170" s="165" t="s">
        <v>423</v>
      </c>
      <c r="I170" s="165" t="s">
        <v>466</v>
      </c>
      <c r="J170" s="165"/>
      <c r="K170" s="165"/>
      <c r="L170" s="165"/>
      <c r="M170"/>
      <c r="N170"/>
      <c r="O170"/>
      <c r="P170"/>
    </row>
    <row r="171" spans="1:16" s="2" customFormat="1" ht="12.75">
      <c r="A171" s="208"/>
      <c r="B171" s="170" t="s">
        <v>302</v>
      </c>
      <c r="C171" s="170">
        <f t="shared" si="31"/>
      </c>
      <c r="D171" s="165" t="s">
        <v>229</v>
      </c>
      <c r="E171" s="170" t="s">
        <v>174</v>
      </c>
      <c r="F171" s="165" t="s">
        <v>175</v>
      </c>
      <c r="G171" s="170" t="s">
        <v>412</v>
      </c>
      <c r="H171" s="165" t="s">
        <v>418</v>
      </c>
      <c r="I171" s="165" t="s">
        <v>465</v>
      </c>
      <c r="J171" s="165"/>
      <c r="K171" s="165"/>
      <c r="L171" s="165"/>
      <c r="M171"/>
      <c r="N171"/>
      <c r="O171"/>
      <c r="P171"/>
    </row>
    <row r="172" spans="1:16" s="2" customFormat="1" ht="12.75">
      <c r="A172" s="199"/>
      <c r="M172"/>
      <c r="N172"/>
      <c r="O172"/>
      <c r="P172"/>
    </row>
    <row r="173" spans="1:16" s="2" customFormat="1" ht="12.75">
      <c r="A173" s="199"/>
      <c r="M173"/>
      <c r="N173"/>
      <c r="O173"/>
      <c r="P173"/>
    </row>
    <row r="174" spans="1:16" s="2" customFormat="1" ht="12.75">
      <c r="A174" s="199"/>
      <c r="M174"/>
      <c r="N174"/>
      <c r="O174"/>
      <c r="P174"/>
    </row>
    <row r="175" spans="1:16" s="2" customFormat="1" ht="12.75">
      <c r="A175" s="199"/>
      <c r="M175"/>
      <c r="N175"/>
      <c r="O175"/>
      <c r="P175"/>
    </row>
    <row r="176" spans="1:16" s="2" customFormat="1" ht="12.75">
      <c r="A176"/>
      <c r="B176"/>
      <c r="C176"/>
      <c r="D176"/>
      <c r="E176" s="26"/>
      <c r="F176"/>
      <c r="G176" s="26"/>
      <c r="H176"/>
      <c r="I176"/>
      <c r="J176"/>
      <c r="K176"/>
      <c r="L176"/>
      <c r="M176"/>
      <c r="N176"/>
      <c r="O176"/>
      <c r="P176"/>
    </row>
    <row r="177" spans="1:16" s="2" customFormat="1" ht="12.75">
      <c r="A177"/>
      <c r="B177"/>
      <c r="C177"/>
      <c r="D177"/>
      <c r="E177" s="26"/>
      <c r="F177"/>
      <c r="G177" s="26"/>
      <c r="H177"/>
      <c r="I177"/>
      <c r="J177"/>
      <c r="K177"/>
      <c r="L177"/>
      <c r="M177"/>
      <c r="N177"/>
      <c r="O177"/>
      <c r="P177"/>
    </row>
    <row r="178" spans="1:16" s="2" customFormat="1" ht="12.75">
      <c r="A178"/>
      <c r="B178"/>
      <c r="C178"/>
      <c r="D178"/>
      <c r="E178" s="26"/>
      <c r="F178"/>
      <c r="G178" s="26"/>
      <c r="H178"/>
      <c r="I178"/>
      <c r="J178"/>
      <c r="K178"/>
      <c r="L178"/>
      <c r="M178"/>
      <c r="N178"/>
      <c r="O178"/>
      <c r="P178"/>
    </row>
    <row r="179" spans="1:16" s="2" customFormat="1" ht="12.75">
      <c r="A179"/>
      <c r="B179"/>
      <c r="C179"/>
      <c r="D179"/>
      <c r="E179" s="26"/>
      <c r="F179"/>
      <c r="G179" s="26"/>
      <c r="H179"/>
      <c r="I179"/>
      <c r="J179"/>
      <c r="K179"/>
      <c r="L179"/>
      <c r="M179"/>
      <c r="N179"/>
      <c r="O179"/>
      <c r="P179"/>
    </row>
    <row r="180" spans="1:16" s="2" customFormat="1" ht="12.75">
      <c r="A180"/>
      <c r="B180"/>
      <c r="C180"/>
      <c r="D180"/>
      <c r="E180" s="26"/>
      <c r="F180"/>
      <c r="G180" s="26"/>
      <c r="H180"/>
      <c r="I180"/>
      <c r="J180"/>
      <c r="K180"/>
      <c r="L180"/>
      <c r="M180"/>
      <c r="N180"/>
      <c r="O180"/>
      <c r="P180"/>
    </row>
    <row r="181" spans="1:16" s="2" customFormat="1" ht="12.75">
      <c r="A181"/>
      <c r="B181"/>
      <c r="C181"/>
      <c r="D181"/>
      <c r="E181" s="26"/>
      <c r="F181"/>
      <c r="G181" s="26"/>
      <c r="H181"/>
      <c r="I181"/>
      <c r="J181"/>
      <c r="K181"/>
      <c r="L181"/>
      <c r="M181"/>
      <c r="N181"/>
      <c r="O181"/>
      <c r="P181"/>
    </row>
    <row r="182" spans="1:16" s="2" customFormat="1" ht="12.75">
      <c r="A182"/>
      <c r="B182"/>
      <c r="C182"/>
      <c r="D182"/>
      <c r="E182" s="26"/>
      <c r="F182"/>
      <c r="G182" s="26"/>
      <c r="H182"/>
      <c r="I182"/>
      <c r="J182"/>
      <c r="K182"/>
      <c r="L182"/>
      <c r="M182"/>
      <c r="N182"/>
      <c r="O182"/>
      <c r="P182"/>
    </row>
    <row r="183" spans="1:16" s="2" customFormat="1" ht="12.75">
      <c r="A183"/>
      <c r="B183"/>
      <c r="C183"/>
      <c r="D183"/>
      <c r="E183" s="26"/>
      <c r="F183"/>
      <c r="G183" s="26"/>
      <c r="H183"/>
      <c r="I183"/>
      <c r="J183"/>
      <c r="K183"/>
      <c r="L183"/>
      <c r="M183"/>
      <c r="N183"/>
      <c r="O183"/>
      <c r="P183"/>
    </row>
    <row r="184" spans="1:16" s="2" customFormat="1" ht="12.75">
      <c r="A184"/>
      <c r="B184"/>
      <c r="C184"/>
      <c r="D184"/>
      <c r="E184" s="26"/>
      <c r="F184"/>
      <c r="G184" s="26"/>
      <c r="H184"/>
      <c r="I184"/>
      <c r="J184"/>
      <c r="K184"/>
      <c r="L184"/>
      <c r="M184"/>
      <c r="N184"/>
      <c r="O184"/>
      <c r="P184"/>
    </row>
    <row r="185" spans="1:16" s="2" customFormat="1" ht="12.75">
      <c r="A185"/>
      <c r="B185"/>
      <c r="C185"/>
      <c r="D185"/>
      <c r="E185" s="26"/>
      <c r="F185"/>
      <c r="G185" s="26"/>
      <c r="H185"/>
      <c r="I185"/>
      <c r="J185"/>
      <c r="K185"/>
      <c r="L185"/>
      <c r="M185"/>
      <c r="N185"/>
      <c r="O185"/>
      <c r="P185"/>
    </row>
    <row r="186" spans="1:18" s="2" customFormat="1" ht="12.75">
      <c r="A186"/>
      <c r="B186"/>
      <c r="C186"/>
      <c r="D186"/>
      <c r="E186" s="26"/>
      <c r="F186"/>
      <c r="G186" s="26"/>
      <c r="H186"/>
      <c r="I186"/>
      <c r="J186"/>
      <c r="K186"/>
      <c r="L186"/>
      <c r="M186"/>
      <c r="N186"/>
      <c r="O186"/>
      <c r="P186"/>
      <c r="Q186"/>
      <c r="R186"/>
    </row>
    <row r="187" spans="1:18" s="2" customFormat="1" ht="12.75">
      <c r="A187"/>
      <c r="B187"/>
      <c r="C187"/>
      <c r="D187"/>
      <c r="E187" s="26"/>
      <c r="F187"/>
      <c r="G187" s="26"/>
      <c r="H187"/>
      <c r="I187"/>
      <c r="J187"/>
      <c r="K187"/>
      <c r="L187"/>
      <c r="M187"/>
      <c r="N187"/>
      <c r="O187"/>
      <c r="P187"/>
      <c r="Q187"/>
      <c r="R187"/>
    </row>
  </sheetData>
  <sheetProtection/>
  <printOptions/>
  <pageMargins left="0.75" right="0.75" top="1" bottom="1" header="0.5" footer="0.5"/>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sheetPr codeName="Sheet10">
    <pageSetUpPr fitToPage="1"/>
  </sheetPr>
  <dimension ref="A1:CT1139"/>
  <sheetViews>
    <sheetView zoomScale="70" zoomScaleNormal="70" zoomScalePageLayoutView="0" workbookViewId="0" topLeftCell="A1">
      <pane xSplit="6" ySplit="3" topLeftCell="G157" activePane="bottomRight" state="frozen"/>
      <selection pane="topLeft" activeCell="V176" sqref="Q175:V176"/>
      <selection pane="topRight" activeCell="V176" sqref="Q175:V176"/>
      <selection pane="bottomLeft" activeCell="V176" sqref="Q175:V176"/>
      <selection pane="bottomRight" activeCell="D192" sqref="D192"/>
    </sheetView>
  </sheetViews>
  <sheetFormatPr defaultColWidth="9.140625" defaultRowHeight="12.75"/>
  <cols>
    <col min="1" max="2" width="9.140625" style="2" customWidth="1"/>
    <col min="3" max="3" width="13.28125" style="2" customWidth="1"/>
    <col min="4" max="4" width="30.28125" style="2" customWidth="1"/>
    <col min="5" max="9" width="14.140625" style="2" customWidth="1"/>
    <col min="10" max="10" width="11.421875" style="2" customWidth="1"/>
    <col min="11" max="11" width="10.140625" style="2" customWidth="1"/>
    <col min="12" max="12" width="9.140625" style="2" customWidth="1"/>
    <col min="13" max="13" width="11.7109375" style="2" customWidth="1"/>
    <col min="14" max="14" width="11.00390625" style="2" customWidth="1"/>
    <col min="15" max="33" width="11.8515625" style="2" customWidth="1"/>
    <col min="34" max="34" width="8.28125" style="2" customWidth="1"/>
    <col min="35" max="35" width="11.00390625" style="2" customWidth="1"/>
    <col min="36" max="36" width="10.28125" style="2" customWidth="1"/>
    <col min="37" max="37" width="10.57421875" style="2" customWidth="1"/>
    <col min="38" max="38" width="9.8515625" style="2" customWidth="1"/>
    <col min="39" max="39" width="10.140625" style="2" customWidth="1"/>
    <col min="40" max="40" width="8.28125" style="2" customWidth="1"/>
    <col min="41" max="45" width="11.57421875" style="2" customWidth="1"/>
    <col min="46" max="16384" width="9.140625" style="2" customWidth="1"/>
  </cols>
  <sheetData>
    <row r="1" spans="4:65" ht="12.75">
      <c r="D1" s="172"/>
      <c r="Q1" s="2" t="s">
        <v>192</v>
      </c>
      <c r="AC1" s="2" t="s">
        <v>41</v>
      </c>
      <c r="AI1" s="2" t="s">
        <v>157</v>
      </c>
      <c r="AO1" s="2">
        <v>2008</v>
      </c>
      <c r="AU1" s="2">
        <v>2007</v>
      </c>
      <c r="BA1" s="2">
        <v>2006</v>
      </c>
      <c r="BG1" s="2">
        <v>2005</v>
      </c>
      <c r="BM1" s="2">
        <v>2003</v>
      </c>
    </row>
    <row r="2" spans="7:69" ht="12.75">
      <c r="G2" s="2" t="s">
        <v>215</v>
      </c>
      <c r="Q2" s="87" t="s">
        <v>193</v>
      </c>
      <c r="R2" s="87" t="s">
        <v>194</v>
      </c>
      <c r="S2" s="87" t="s">
        <v>195</v>
      </c>
      <c r="T2" s="87" t="s">
        <v>196</v>
      </c>
      <c r="U2" s="87" t="s">
        <v>197</v>
      </c>
      <c r="V2" s="1"/>
      <c r="W2" s="87" t="s">
        <v>38</v>
      </c>
      <c r="X2" s="87" t="s">
        <v>39</v>
      </c>
      <c r="Y2" s="87" t="s">
        <v>40</v>
      </c>
      <c r="Z2" s="87" t="s">
        <v>199</v>
      </c>
      <c r="AA2" s="87" t="s">
        <v>200</v>
      </c>
      <c r="AB2" s="1"/>
      <c r="AC2" s="87" t="s">
        <v>42</v>
      </c>
      <c r="AD2" s="87" t="s">
        <v>43</v>
      </c>
      <c r="AE2" s="87" t="s">
        <v>44</v>
      </c>
      <c r="AF2" s="87" t="s">
        <v>45</v>
      </c>
      <c r="AG2" s="87" t="s">
        <v>46</v>
      </c>
      <c r="AI2" s="66" t="s">
        <v>158</v>
      </c>
      <c r="AJ2" s="66" t="s">
        <v>159</v>
      </c>
      <c r="AK2" s="66" t="s">
        <v>160</v>
      </c>
      <c r="AL2" s="66" t="s">
        <v>161</v>
      </c>
      <c r="AM2" s="66" t="s">
        <v>162</v>
      </c>
      <c r="AO2" s="66" t="s">
        <v>216</v>
      </c>
      <c r="AP2" s="66" t="s">
        <v>217</v>
      </c>
      <c r="AQ2" s="66" t="s">
        <v>218</v>
      </c>
      <c r="AR2" s="66" t="s">
        <v>219</v>
      </c>
      <c r="AS2" s="66" t="s">
        <v>220</v>
      </c>
      <c r="AU2" s="66"/>
      <c r="AV2" s="66"/>
      <c r="AW2" s="66"/>
      <c r="AX2" s="66"/>
      <c r="AY2" s="66" t="s">
        <v>221</v>
      </c>
      <c r="BA2" s="66"/>
      <c r="BB2" s="66"/>
      <c r="BC2" s="66"/>
      <c r="BD2" s="66"/>
      <c r="BE2" s="66" t="s">
        <v>222</v>
      </c>
      <c r="BG2" s="66"/>
      <c r="BH2" s="66"/>
      <c r="BI2" s="66"/>
      <c r="BJ2" s="66"/>
      <c r="BK2" s="66" t="s">
        <v>223</v>
      </c>
      <c r="BM2" s="66"/>
      <c r="BN2" s="66"/>
      <c r="BO2" s="66"/>
      <c r="BP2" s="66"/>
      <c r="BQ2" s="66" t="s">
        <v>231</v>
      </c>
    </row>
    <row r="3" spans="1:71" ht="12.75">
      <c r="A3" s="172" t="s">
        <v>473</v>
      </c>
      <c r="B3" s="172" t="s">
        <v>481</v>
      </c>
      <c r="C3" s="76" t="s">
        <v>208</v>
      </c>
      <c r="D3" s="76" t="s">
        <v>437</v>
      </c>
      <c r="E3" s="76" t="s">
        <v>436</v>
      </c>
      <c r="F3" s="209" t="s">
        <v>480</v>
      </c>
      <c r="G3" s="77">
        <v>2012</v>
      </c>
      <c r="H3" s="77">
        <v>2011</v>
      </c>
      <c r="I3" s="77">
        <v>2010</v>
      </c>
      <c r="J3" s="66">
        <v>2009</v>
      </c>
      <c r="K3" s="66">
        <v>2008</v>
      </c>
      <c r="L3" s="66">
        <v>2007</v>
      </c>
      <c r="M3" s="66">
        <v>2006</v>
      </c>
      <c r="N3" s="66">
        <v>2005</v>
      </c>
      <c r="O3" s="66">
        <v>2003</v>
      </c>
      <c r="P3" s="41"/>
      <c r="Q3" s="66">
        <v>1</v>
      </c>
      <c r="R3" s="66">
        <v>2</v>
      </c>
      <c r="S3" s="66">
        <v>3</v>
      </c>
      <c r="T3" s="66">
        <v>4</v>
      </c>
      <c r="U3" s="66">
        <v>5</v>
      </c>
      <c r="V3" s="62"/>
      <c r="W3" s="66">
        <v>1</v>
      </c>
      <c r="X3" s="66">
        <v>2</v>
      </c>
      <c r="Y3" s="66">
        <v>3</v>
      </c>
      <c r="Z3" s="66">
        <v>4</v>
      </c>
      <c r="AA3" s="66">
        <v>5</v>
      </c>
      <c r="AB3" s="62"/>
      <c r="AC3" s="66">
        <v>1</v>
      </c>
      <c r="AD3" s="66">
        <v>2</v>
      </c>
      <c r="AE3" s="66">
        <v>3</v>
      </c>
      <c r="AF3" s="66">
        <v>4</v>
      </c>
      <c r="AG3" s="66">
        <v>5</v>
      </c>
      <c r="AI3" s="66">
        <v>1</v>
      </c>
      <c r="AJ3" s="66">
        <v>2</v>
      </c>
      <c r="AK3" s="66">
        <v>3</v>
      </c>
      <c r="AL3" s="66">
        <v>4</v>
      </c>
      <c r="AM3" s="66">
        <v>5</v>
      </c>
      <c r="AO3" s="66">
        <v>1</v>
      </c>
      <c r="AP3" s="66">
        <v>2</v>
      </c>
      <c r="AQ3" s="66">
        <v>3</v>
      </c>
      <c r="AR3" s="66">
        <v>4</v>
      </c>
      <c r="AS3" s="66">
        <v>5</v>
      </c>
      <c r="AU3" s="66">
        <v>1</v>
      </c>
      <c r="AV3" s="66">
        <v>2</v>
      </c>
      <c r="AW3" s="66">
        <v>3</v>
      </c>
      <c r="AX3" s="66">
        <v>4</v>
      </c>
      <c r="AY3" s="66">
        <v>5</v>
      </c>
      <c r="BA3" s="66">
        <v>1</v>
      </c>
      <c r="BB3" s="66">
        <v>2</v>
      </c>
      <c r="BC3" s="66">
        <v>3</v>
      </c>
      <c r="BD3" s="66">
        <v>4</v>
      </c>
      <c r="BE3" s="66">
        <v>5</v>
      </c>
      <c r="BG3" s="67">
        <v>1</v>
      </c>
      <c r="BH3" s="67">
        <v>2</v>
      </c>
      <c r="BI3" s="67">
        <v>3</v>
      </c>
      <c r="BJ3" s="67">
        <v>4</v>
      </c>
      <c r="BK3" s="67">
        <v>5</v>
      </c>
      <c r="BM3" s="67">
        <v>1</v>
      </c>
      <c r="BN3" s="67">
        <v>2</v>
      </c>
      <c r="BO3" s="67">
        <v>3</v>
      </c>
      <c r="BP3" s="67">
        <v>4</v>
      </c>
      <c r="BQ3" s="67">
        <v>5</v>
      </c>
      <c r="BS3" s="172" t="s">
        <v>482</v>
      </c>
    </row>
    <row r="4" spans="1:69" ht="12.75">
      <c r="A4" s="2">
        <f>VLOOKUP(E4,'SHA cluster table data'!B4:C159,2,FALSE)</f>
        <v>1</v>
      </c>
      <c r="B4" s="2">
        <v>1</v>
      </c>
      <c r="C4" s="42" t="str">
        <f>VLOOKUP(E4,'SHA cluster table data'!$B$4:$G$171,6,FALSE)</f>
        <v>Q31</v>
      </c>
      <c r="D4" s="42" t="s">
        <v>427</v>
      </c>
      <c r="E4" s="71" t="s">
        <v>73</v>
      </c>
      <c r="F4" s="71">
        <v>1</v>
      </c>
      <c r="G4" s="104">
        <v>68.5220736779702</v>
      </c>
      <c r="H4" s="154">
        <f>AVERAGE(W4:AA4)</f>
        <v>68.88240477543054</v>
      </c>
      <c r="I4" s="155">
        <f>AVERAGE(AC4:AG4)</f>
        <v>65.20244868285964</v>
      </c>
      <c r="J4" s="63">
        <v>67.88389117915746</v>
      </c>
      <c r="K4" s="63">
        <v>66.069084</v>
      </c>
      <c r="L4" s="63">
        <v>67.028774</v>
      </c>
      <c r="M4" s="63">
        <v>66.37170599999999</v>
      </c>
      <c r="N4" s="63">
        <v>68.615566</v>
      </c>
      <c r="O4" s="63">
        <v>66.13025999999999</v>
      </c>
      <c r="P4" s="86"/>
      <c r="Q4" s="103">
        <v>70.9745026515308</v>
      </c>
      <c r="R4" s="103">
        <v>60.6369312509218</v>
      </c>
      <c r="S4" s="103">
        <v>82.022191162519</v>
      </c>
      <c r="T4" s="103">
        <v>51.3895044808394</v>
      </c>
      <c r="U4" s="103">
        <v>77.5872388440402</v>
      </c>
      <c r="V4" s="86"/>
      <c r="W4" s="158">
        <v>71.6488381966988</v>
      </c>
      <c r="X4" s="158">
        <v>60.5897343481095</v>
      </c>
      <c r="Y4" s="158">
        <v>84.6241759391191</v>
      </c>
      <c r="Z4" s="158">
        <v>49.7826690411564</v>
      </c>
      <c r="AA4" s="158">
        <v>77.7666063520689</v>
      </c>
      <c r="AB4" s="159"/>
      <c r="AC4" s="158">
        <v>65.1444923117426</v>
      </c>
      <c r="AD4" s="158">
        <v>61.5573857925288</v>
      </c>
      <c r="AE4" s="158">
        <v>77.1338348169279</v>
      </c>
      <c r="AF4" s="158">
        <v>46.210113668803</v>
      </c>
      <c r="AG4" s="158">
        <v>75.9664168242959</v>
      </c>
      <c r="AH4" s="9"/>
      <c r="AI4" s="63">
        <v>74.478278353445</v>
      </c>
      <c r="AJ4" s="63">
        <v>56.4379041392939</v>
      </c>
      <c r="AK4" s="63">
        <v>79.9328016780152</v>
      </c>
      <c r="AL4" s="63">
        <v>49.8716439710709</v>
      </c>
      <c r="AM4" s="63">
        <v>78.6988277539623</v>
      </c>
      <c r="AN4" s="9"/>
      <c r="AO4" s="50">
        <v>72.06355</v>
      </c>
      <c r="AP4" s="50">
        <v>55.24012</v>
      </c>
      <c r="AQ4" s="50">
        <v>79.6451</v>
      </c>
      <c r="AR4" s="50">
        <v>43.94593</v>
      </c>
      <c r="AS4" s="50">
        <v>79.45072</v>
      </c>
      <c r="AU4" s="50">
        <v>69.62499</v>
      </c>
      <c r="AV4" s="50">
        <v>61.7181</v>
      </c>
      <c r="AW4" s="50">
        <v>79.08461</v>
      </c>
      <c r="AX4" s="50">
        <v>45.84403</v>
      </c>
      <c r="AY4" s="50">
        <v>78.87214</v>
      </c>
      <c r="BA4" s="50">
        <v>71.90228</v>
      </c>
      <c r="BB4" s="50">
        <v>60.47773</v>
      </c>
      <c r="BC4" s="50">
        <v>83.27184</v>
      </c>
      <c r="BD4" s="50">
        <v>38.28812</v>
      </c>
      <c r="BE4" s="50">
        <v>77.91856</v>
      </c>
      <c r="BG4" s="50">
        <v>70.97372</v>
      </c>
      <c r="BH4" s="50">
        <v>59.62787</v>
      </c>
      <c r="BI4" s="50">
        <v>79.53629</v>
      </c>
      <c r="BJ4" s="50">
        <v>49.24873</v>
      </c>
      <c r="BK4" s="50">
        <v>83.69122</v>
      </c>
      <c r="BM4" s="50">
        <v>66.30698</v>
      </c>
      <c r="BN4" s="50">
        <v>59.01381</v>
      </c>
      <c r="BO4" s="50">
        <v>76.73206</v>
      </c>
      <c r="BP4" s="50">
        <v>48.01685</v>
      </c>
      <c r="BQ4" s="50">
        <v>80.5816</v>
      </c>
    </row>
    <row r="5" spans="1:69" ht="12.75">
      <c r="A5" s="2">
        <f>VLOOKUP(E5,'SHA cluster table data'!B5:C159,2,FALSE)</f>
        <v>2</v>
      </c>
      <c r="B5" s="2">
        <v>2</v>
      </c>
      <c r="C5" s="42" t="str">
        <f>VLOOKUP(E5,'SHA cluster table data'!$B$4:$G$171,6,FALSE)</f>
        <v>Q31</v>
      </c>
      <c r="D5" s="42" t="s">
        <v>119</v>
      </c>
      <c r="E5" s="71" t="s">
        <v>74</v>
      </c>
      <c r="F5" s="71">
        <v>2</v>
      </c>
      <c r="G5" s="104">
        <v>67.3362931726784</v>
      </c>
      <c r="H5" s="154">
        <f aca="true" t="shared" si="0" ref="H5:H69">AVERAGE(W5:AA5)</f>
        <v>67.7648606332198</v>
      </c>
      <c r="I5" s="155">
        <f aca="true" t="shared" si="1" ref="I5:I69">AVERAGE(AC5:AG5)</f>
        <v>67.43436363064885</v>
      </c>
      <c r="J5" s="63">
        <v>67.54887767353648</v>
      </c>
      <c r="K5" s="63">
        <v>68.382272</v>
      </c>
      <c r="L5" s="63">
        <v>69.61213</v>
      </c>
      <c r="M5" s="63">
        <v>71.940668</v>
      </c>
      <c r="N5" s="63">
        <v>71.049152</v>
      </c>
      <c r="O5" s="63">
        <v>69.623706</v>
      </c>
      <c r="P5" s="86"/>
      <c r="Q5" s="103">
        <v>72.1441662414834</v>
      </c>
      <c r="R5" s="103">
        <v>59.0058905047347</v>
      </c>
      <c r="S5" s="103">
        <v>82.1463649760385</v>
      </c>
      <c r="T5" s="103">
        <v>46.0859410751006</v>
      </c>
      <c r="U5" s="103">
        <v>77.2991030660347</v>
      </c>
      <c r="V5" s="86"/>
      <c r="W5" s="158">
        <v>73.0022606976264</v>
      </c>
      <c r="X5" s="158">
        <v>61.9992114520594</v>
      </c>
      <c r="Y5" s="158">
        <v>80.4931910832862</v>
      </c>
      <c r="Z5" s="158">
        <v>49.5657809955517</v>
      </c>
      <c r="AA5" s="158">
        <v>73.7638589375753</v>
      </c>
      <c r="AB5" s="159"/>
      <c r="AC5" s="158">
        <v>74.0924371915757</v>
      </c>
      <c r="AD5" s="158">
        <v>62.0487708846675</v>
      </c>
      <c r="AE5" s="158">
        <v>79.2034863185819</v>
      </c>
      <c r="AF5" s="158">
        <v>49.602352004169</v>
      </c>
      <c r="AG5" s="158">
        <v>72.2247717542501</v>
      </c>
      <c r="AH5" s="9"/>
      <c r="AI5" s="63">
        <v>70.6191213838815</v>
      </c>
      <c r="AJ5" s="63">
        <v>62.7829420394918</v>
      </c>
      <c r="AK5" s="63">
        <v>81.8139774302997</v>
      </c>
      <c r="AL5" s="63">
        <v>48.6561116417817</v>
      </c>
      <c r="AM5" s="63">
        <v>73.8722358722277</v>
      </c>
      <c r="AN5" s="9"/>
      <c r="AO5" s="50">
        <v>74.05612</v>
      </c>
      <c r="AP5" s="50">
        <v>63.47322</v>
      </c>
      <c r="AQ5" s="50">
        <v>79.69774</v>
      </c>
      <c r="AR5" s="50">
        <v>47.5681</v>
      </c>
      <c r="AS5" s="50">
        <v>77.11618</v>
      </c>
      <c r="AU5" s="50">
        <v>72.99716</v>
      </c>
      <c r="AV5" s="50">
        <v>66.98902</v>
      </c>
      <c r="AW5" s="50">
        <v>81.74636</v>
      </c>
      <c r="AX5" s="50">
        <v>49.1749</v>
      </c>
      <c r="AY5" s="50">
        <v>77.15321</v>
      </c>
      <c r="BA5" s="50">
        <v>75.21091</v>
      </c>
      <c r="BB5" s="50">
        <v>67.98289</v>
      </c>
      <c r="BC5" s="50">
        <v>83.02236</v>
      </c>
      <c r="BD5" s="50">
        <v>53.99347</v>
      </c>
      <c r="BE5" s="50">
        <v>79.49371</v>
      </c>
      <c r="BG5" s="50">
        <v>75.89893</v>
      </c>
      <c r="BH5" s="50">
        <v>68.8478</v>
      </c>
      <c r="BI5" s="50">
        <v>80.35347</v>
      </c>
      <c r="BJ5" s="50">
        <v>52.33242</v>
      </c>
      <c r="BK5" s="50">
        <v>77.81314</v>
      </c>
      <c r="BM5" s="50">
        <v>72.74265</v>
      </c>
      <c r="BN5" s="50">
        <v>61.5139</v>
      </c>
      <c r="BO5" s="50">
        <v>81.18118</v>
      </c>
      <c r="BP5" s="50">
        <v>53.21504</v>
      </c>
      <c r="BQ5" s="50">
        <v>79.46576</v>
      </c>
    </row>
    <row r="6" spans="1:69" ht="12.75">
      <c r="A6" s="2">
        <f>VLOOKUP(E6,'SHA cluster table data'!B6:C159,2,FALSE)</f>
        <v>3</v>
      </c>
      <c r="B6" s="2">
        <v>3</v>
      </c>
      <c r="C6" s="42" t="str">
        <f>VLOOKUP(E6,'SHA cluster table data'!$B$4:$G$171,6,FALSE)</f>
        <v>Q39</v>
      </c>
      <c r="D6" s="42" t="s">
        <v>2</v>
      </c>
      <c r="E6" s="71" t="s">
        <v>357</v>
      </c>
      <c r="F6" s="71">
        <v>3</v>
      </c>
      <c r="G6" s="104">
        <v>64.3027850192667</v>
      </c>
      <c r="H6" s="154">
        <f t="shared" si="0"/>
        <v>61.51691473248339</v>
      </c>
      <c r="I6" s="155">
        <f t="shared" si="1"/>
        <v>63.960190164304365</v>
      </c>
      <c r="J6" s="63">
        <v>62.47994994995615</v>
      </c>
      <c r="K6" s="63">
        <v>62.361630000000005</v>
      </c>
      <c r="L6" s="63">
        <v>63.018196</v>
      </c>
      <c r="M6" s="63">
        <v>62.588576</v>
      </c>
      <c r="N6" s="63">
        <v>59.01027200000001</v>
      </c>
      <c r="O6" s="63">
        <v>59.505546</v>
      </c>
      <c r="P6" s="86"/>
      <c r="Q6" s="103">
        <v>70.780069292755</v>
      </c>
      <c r="R6" s="103">
        <v>55.1556118121425</v>
      </c>
      <c r="S6" s="103">
        <v>82.8003491962504</v>
      </c>
      <c r="T6" s="103">
        <v>42.4436910042017</v>
      </c>
      <c r="U6" s="103">
        <v>70.3342037909838</v>
      </c>
      <c r="V6" s="86"/>
      <c r="W6" s="158">
        <v>66.3914673607103</v>
      </c>
      <c r="X6" s="158">
        <v>52.0722175954966</v>
      </c>
      <c r="Y6" s="158">
        <v>80.5408185680822</v>
      </c>
      <c r="Z6" s="158">
        <v>37.9401879329126</v>
      </c>
      <c r="AA6" s="158">
        <v>70.6398822052153</v>
      </c>
      <c r="AB6" s="159"/>
      <c r="AC6" s="158">
        <v>68.9187087220128</v>
      </c>
      <c r="AD6" s="158">
        <v>54.2144252966979</v>
      </c>
      <c r="AE6" s="158">
        <v>79.3908677281558</v>
      </c>
      <c r="AF6" s="158">
        <v>43.7931234750196</v>
      </c>
      <c r="AG6" s="158">
        <v>73.4838255996358</v>
      </c>
      <c r="AH6" s="9"/>
      <c r="AI6" s="63">
        <v>66.0057439776088</v>
      </c>
      <c r="AJ6" s="63">
        <v>55.223317065878</v>
      </c>
      <c r="AK6" s="63">
        <v>77.2099475984864</v>
      </c>
      <c r="AL6" s="63">
        <v>41.2219979219313</v>
      </c>
      <c r="AM6" s="63">
        <v>72.7387431858763</v>
      </c>
      <c r="AN6" s="9"/>
      <c r="AO6" s="50">
        <v>69.41425</v>
      </c>
      <c r="AP6" s="50">
        <v>49.87822</v>
      </c>
      <c r="AQ6" s="50">
        <v>78.36828</v>
      </c>
      <c r="AR6" s="50">
        <v>42.03006</v>
      </c>
      <c r="AS6" s="50">
        <v>72.11734</v>
      </c>
      <c r="AU6" s="50">
        <v>70.39872</v>
      </c>
      <c r="AV6" s="50">
        <v>53.79498</v>
      </c>
      <c r="AW6" s="50">
        <v>76.90884</v>
      </c>
      <c r="AX6" s="50">
        <v>42.08323</v>
      </c>
      <c r="AY6" s="50">
        <v>71.90521</v>
      </c>
      <c r="BA6" s="50">
        <v>67.90029</v>
      </c>
      <c r="BB6" s="50">
        <v>54.21082</v>
      </c>
      <c r="BC6" s="50">
        <v>77.1964</v>
      </c>
      <c r="BD6" s="50">
        <v>41.23383</v>
      </c>
      <c r="BE6" s="50">
        <v>72.40154</v>
      </c>
      <c r="BG6" s="50">
        <v>64.73152</v>
      </c>
      <c r="BH6" s="50">
        <v>46.74622</v>
      </c>
      <c r="BI6" s="50">
        <v>73.22043</v>
      </c>
      <c r="BJ6" s="50">
        <v>40.10365</v>
      </c>
      <c r="BK6" s="50">
        <v>70.24954</v>
      </c>
      <c r="BM6" s="50">
        <v>66.07597</v>
      </c>
      <c r="BN6" s="50">
        <v>52.25325</v>
      </c>
      <c r="BO6" s="50">
        <v>76.38172</v>
      </c>
      <c r="BP6" s="50">
        <v>33.60959</v>
      </c>
      <c r="BQ6" s="50">
        <v>69.2072</v>
      </c>
    </row>
    <row r="7" spans="1:69" ht="12.75">
      <c r="A7" s="2">
        <f>VLOOKUP(E7,'SHA cluster table data'!B7:C159,2,FALSE)</f>
        <v>4</v>
      </c>
      <c r="B7" s="1">
        <v>4</v>
      </c>
      <c r="C7" s="42" t="str">
        <f>VLOOKUP(E7,'SHA cluster table data'!$B$4:$G$171,6,FALSE)</f>
        <v>Q36</v>
      </c>
      <c r="D7" s="42" t="s">
        <v>4</v>
      </c>
      <c r="E7" s="71" t="s">
        <v>359</v>
      </c>
      <c r="F7" s="71">
        <v>4</v>
      </c>
      <c r="G7" s="104">
        <v>60.7175587142131</v>
      </c>
      <c r="H7" s="154">
        <f t="shared" si="0"/>
        <v>56.94158897392597</v>
      </c>
      <c r="I7" s="155">
        <f t="shared" si="1"/>
        <v>61.103993990853134</v>
      </c>
      <c r="J7" s="63">
        <v>58.983860416855656</v>
      </c>
      <c r="K7" s="63">
        <v>58.260526000000006</v>
      </c>
      <c r="L7" s="63">
        <v>55.187158</v>
      </c>
      <c r="M7" s="63">
        <v>55.14095</v>
      </c>
      <c r="N7" s="65" t="s">
        <v>426</v>
      </c>
      <c r="O7" s="63">
        <v>56.004728</v>
      </c>
      <c r="P7" s="86"/>
      <c r="Q7" s="103">
        <v>65.8527557938822</v>
      </c>
      <c r="R7" s="103">
        <v>49.845370640516</v>
      </c>
      <c r="S7" s="103">
        <v>80.2555195804648</v>
      </c>
      <c r="T7" s="103">
        <v>40.0274490221608</v>
      </c>
      <c r="U7" s="103">
        <v>67.6066985340418</v>
      </c>
      <c r="V7" s="86"/>
      <c r="W7" s="158">
        <v>62.3320920283757</v>
      </c>
      <c r="X7" s="158">
        <v>45.2106070225519</v>
      </c>
      <c r="Y7" s="158">
        <v>77.8919285175075</v>
      </c>
      <c r="Z7" s="158">
        <v>33.7104159779106</v>
      </c>
      <c r="AA7" s="158">
        <v>65.5629013232842</v>
      </c>
      <c r="AB7" s="159"/>
      <c r="AC7" s="158">
        <v>67.970516622843</v>
      </c>
      <c r="AD7" s="158">
        <v>53.0328757748203</v>
      </c>
      <c r="AE7" s="158">
        <v>80.380204162535</v>
      </c>
      <c r="AF7" s="158">
        <v>40.1639053952852</v>
      </c>
      <c r="AG7" s="158">
        <v>63.9724679987822</v>
      </c>
      <c r="AH7" s="9"/>
      <c r="AI7" s="63">
        <v>64.8523962104985</v>
      </c>
      <c r="AJ7" s="63">
        <v>52.4702925002873</v>
      </c>
      <c r="AK7" s="63">
        <v>78.5022420052977</v>
      </c>
      <c r="AL7" s="63">
        <v>33.7873826357021</v>
      </c>
      <c r="AM7" s="63">
        <v>65.3069887324927</v>
      </c>
      <c r="AN7" s="9"/>
      <c r="AO7" s="50">
        <v>64.79325</v>
      </c>
      <c r="AP7" s="50">
        <v>54.33885</v>
      </c>
      <c r="AQ7" s="50">
        <v>77.36884</v>
      </c>
      <c r="AR7" s="50">
        <v>31.62376</v>
      </c>
      <c r="AS7" s="50">
        <v>63.17793</v>
      </c>
      <c r="AU7" s="50">
        <v>61.97638</v>
      </c>
      <c r="AV7" s="50">
        <v>44.82826</v>
      </c>
      <c r="AW7" s="50">
        <v>72.78354</v>
      </c>
      <c r="AX7" s="50">
        <v>32.49111</v>
      </c>
      <c r="AY7" s="50">
        <v>63.8565</v>
      </c>
      <c r="BA7" s="50">
        <v>62.60164</v>
      </c>
      <c r="BB7" s="50">
        <v>46.46421</v>
      </c>
      <c r="BC7" s="50">
        <v>73.74467</v>
      </c>
      <c r="BD7" s="50">
        <v>30.16725</v>
      </c>
      <c r="BE7" s="50">
        <v>62.72698</v>
      </c>
      <c r="BG7" s="50" t="s">
        <v>426</v>
      </c>
      <c r="BH7" s="50" t="s">
        <v>426</v>
      </c>
      <c r="BI7" s="50" t="s">
        <v>426</v>
      </c>
      <c r="BJ7" s="50" t="s">
        <v>426</v>
      </c>
      <c r="BK7" s="68" t="s">
        <v>426</v>
      </c>
      <c r="BM7" s="50">
        <v>61.74924</v>
      </c>
      <c r="BN7" s="50">
        <v>49.62194</v>
      </c>
      <c r="BO7" s="50">
        <v>72.13456</v>
      </c>
      <c r="BP7" s="50">
        <v>35.79142</v>
      </c>
      <c r="BQ7" s="50">
        <v>60.72648</v>
      </c>
    </row>
    <row r="8" spans="1:69" ht="12.75">
      <c r="A8" s="2">
        <f>VLOOKUP(E8,'SHA cluster table data'!B8:C159,2,FALSE)</f>
        <v>5</v>
      </c>
      <c r="B8" s="2">
        <v>5</v>
      </c>
      <c r="C8" s="42" t="str">
        <f>VLOOKUP(E8,'SHA cluster table data'!$B$4:$G$171,6,FALSE)</f>
        <v>Q36</v>
      </c>
      <c r="D8" s="42" t="s">
        <v>7</v>
      </c>
      <c r="E8" s="71" t="s">
        <v>362</v>
      </c>
      <c r="F8" s="71">
        <v>5</v>
      </c>
      <c r="G8" s="104">
        <v>63.4030140029533</v>
      </c>
      <c r="H8" s="154">
        <f t="shared" si="0"/>
        <v>66.87726866819668</v>
      </c>
      <c r="I8" s="155">
        <f t="shared" si="1"/>
        <v>66.74746045381099</v>
      </c>
      <c r="J8" s="63">
        <v>61.902135148485925</v>
      </c>
      <c r="K8" s="63">
        <v>65.731784</v>
      </c>
      <c r="L8" s="63">
        <v>63.720296</v>
      </c>
      <c r="M8" s="63">
        <v>63.164584000000005</v>
      </c>
      <c r="N8" s="63">
        <v>64.720546</v>
      </c>
      <c r="O8" s="63">
        <v>59.71382</v>
      </c>
      <c r="P8" s="86"/>
      <c r="Q8" s="103">
        <v>67.2269652448267</v>
      </c>
      <c r="R8" s="103">
        <v>49.9059648578355</v>
      </c>
      <c r="S8" s="103">
        <v>82.5428934798996</v>
      </c>
      <c r="T8" s="103">
        <v>45.5116667324816</v>
      </c>
      <c r="U8" s="103">
        <v>71.827579699723</v>
      </c>
      <c r="V8" s="86"/>
      <c r="W8" s="158">
        <v>70.288247841022</v>
      </c>
      <c r="X8" s="158">
        <v>57.6236106583364</v>
      </c>
      <c r="Y8" s="158">
        <v>80.3539276978498</v>
      </c>
      <c r="Z8" s="158">
        <v>47.8284694434617</v>
      </c>
      <c r="AA8" s="158">
        <v>78.2920877003135</v>
      </c>
      <c r="AB8" s="159"/>
      <c r="AC8" s="158">
        <v>71.7694384981104</v>
      </c>
      <c r="AD8" s="158">
        <v>54.692479684028</v>
      </c>
      <c r="AE8" s="158">
        <v>82.0594012401671</v>
      </c>
      <c r="AF8" s="158">
        <v>49.1467514661597</v>
      </c>
      <c r="AG8" s="158">
        <v>76.0692313805897</v>
      </c>
      <c r="AH8" s="9"/>
      <c r="AI8" s="63">
        <v>67.666543795209</v>
      </c>
      <c r="AJ8" s="63">
        <v>51.9512841512903</v>
      </c>
      <c r="AK8" s="63">
        <v>80.2376479729392</v>
      </c>
      <c r="AL8" s="63">
        <v>39.2293208103428</v>
      </c>
      <c r="AM8" s="63">
        <v>70.4258790126483</v>
      </c>
      <c r="AN8" s="9"/>
      <c r="AO8" s="50">
        <v>69.54314</v>
      </c>
      <c r="AP8" s="50">
        <v>57.48727</v>
      </c>
      <c r="AQ8" s="50">
        <v>76.96398</v>
      </c>
      <c r="AR8" s="50">
        <v>51.54547</v>
      </c>
      <c r="AS8" s="50">
        <v>73.11906</v>
      </c>
      <c r="AU8" s="50">
        <v>66.11289</v>
      </c>
      <c r="AV8" s="50">
        <v>54.87087</v>
      </c>
      <c r="AW8" s="50">
        <v>80.63894</v>
      </c>
      <c r="AX8" s="50">
        <v>46.16366</v>
      </c>
      <c r="AY8" s="50">
        <v>70.81512</v>
      </c>
      <c r="BA8" s="50">
        <v>67.09066</v>
      </c>
      <c r="BB8" s="50">
        <v>53.68248</v>
      </c>
      <c r="BC8" s="50">
        <v>81.32101</v>
      </c>
      <c r="BD8" s="50">
        <v>40.34382</v>
      </c>
      <c r="BE8" s="50">
        <v>73.38495</v>
      </c>
      <c r="BG8" s="50">
        <v>66.6502</v>
      </c>
      <c r="BH8" s="50">
        <v>57.29939</v>
      </c>
      <c r="BI8" s="50">
        <v>81.87373</v>
      </c>
      <c r="BJ8" s="50">
        <v>46.40211</v>
      </c>
      <c r="BK8" s="50">
        <v>71.3773</v>
      </c>
      <c r="BM8" s="50">
        <v>65.13173</v>
      </c>
      <c r="BN8" s="50">
        <v>53.78987</v>
      </c>
      <c r="BO8" s="50">
        <v>75.05339</v>
      </c>
      <c r="BP8" s="50">
        <v>36.72164</v>
      </c>
      <c r="BQ8" s="50">
        <v>67.87247</v>
      </c>
    </row>
    <row r="9" spans="1:69" ht="12.75">
      <c r="A9" s="2">
        <f>VLOOKUP(E9,'SHA cluster table data'!B9:C176,2,FALSE)</f>
        <v>6</v>
      </c>
      <c r="B9" s="2">
        <v>6</v>
      </c>
      <c r="C9" s="42" t="str">
        <f>VLOOKUP(E9,'SHA cluster table data'!$B$4:$G$171,6,FALSE)</f>
        <v>Q31</v>
      </c>
      <c r="D9" s="42" t="s">
        <v>29</v>
      </c>
      <c r="E9" s="71" t="s">
        <v>345</v>
      </c>
      <c r="F9" s="71">
        <v>6</v>
      </c>
      <c r="G9" s="104">
        <v>67.4014745639147</v>
      </c>
      <c r="H9" s="154">
        <f t="shared" si="0"/>
        <v>61.34910200586086</v>
      </c>
      <c r="I9" s="155">
        <f t="shared" si="1"/>
        <v>68.32952452567415</v>
      </c>
      <c r="J9" s="63">
        <v>63.10391739073818</v>
      </c>
      <c r="K9" s="63">
        <v>63.439328</v>
      </c>
      <c r="L9" s="63">
        <v>62.32363</v>
      </c>
      <c r="M9" s="63">
        <v>64.62681599999999</v>
      </c>
      <c r="N9" s="63">
        <v>64.89093199999999</v>
      </c>
      <c r="O9" s="63">
        <v>65.742178</v>
      </c>
      <c r="P9" s="86"/>
      <c r="Q9" s="103">
        <v>68.7615674247595</v>
      </c>
      <c r="R9" s="103">
        <v>58.3434693656974</v>
      </c>
      <c r="S9" s="103">
        <v>82.4476356233982</v>
      </c>
      <c r="T9" s="103">
        <v>47.1624714739548</v>
      </c>
      <c r="U9" s="103">
        <v>80.2922289317636</v>
      </c>
      <c r="V9" s="86"/>
      <c r="W9" s="158">
        <v>64.6360250934391</v>
      </c>
      <c r="X9" s="158">
        <v>54.5563188244819</v>
      </c>
      <c r="Y9" s="158">
        <v>77.6054198097868</v>
      </c>
      <c r="Z9" s="158">
        <v>36.6456289295127</v>
      </c>
      <c r="AA9" s="158">
        <v>73.3021173720838</v>
      </c>
      <c r="AB9" s="159"/>
      <c r="AC9" s="158">
        <v>68.9662122662392</v>
      </c>
      <c r="AD9" s="158">
        <v>63.7768764232887</v>
      </c>
      <c r="AE9" s="158">
        <v>81.9569513144257</v>
      </c>
      <c r="AF9" s="158">
        <v>45.5004562944076</v>
      </c>
      <c r="AG9" s="158">
        <v>81.4471263300096</v>
      </c>
      <c r="AH9" s="9"/>
      <c r="AI9" s="63">
        <v>68.124158803259</v>
      </c>
      <c r="AJ9" s="63">
        <v>56.6152591264117</v>
      </c>
      <c r="AK9" s="63">
        <v>79.3429309179548</v>
      </c>
      <c r="AL9" s="63">
        <v>42.5125562054855</v>
      </c>
      <c r="AM9" s="63">
        <v>68.9246819005799</v>
      </c>
      <c r="AN9" s="9"/>
      <c r="AO9" s="50">
        <v>67.94926</v>
      </c>
      <c r="AP9" s="50">
        <v>55.96076</v>
      </c>
      <c r="AQ9" s="50">
        <v>78.25184</v>
      </c>
      <c r="AR9" s="50">
        <v>42.73024</v>
      </c>
      <c r="AS9" s="50">
        <v>72.30454</v>
      </c>
      <c r="AU9" s="50">
        <v>67.86319</v>
      </c>
      <c r="AV9" s="50">
        <v>54.0001</v>
      </c>
      <c r="AW9" s="50">
        <v>78.42252</v>
      </c>
      <c r="AX9" s="50">
        <v>39.30074</v>
      </c>
      <c r="AY9" s="50">
        <v>72.0316</v>
      </c>
      <c r="BA9" s="50">
        <v>68.07504</v>
      </c>
      <c r="BB9" s="50">
        <v>60.24461</v>
      </c>
      <c r="BC9" s="50">
        <v>80.36722</v>
      </c>
      <c r="BD9" s="50">
        <v>40.00435</v>
      </c>
      <c r="BE9" s="50">
        <v>74.44286</v>
      </c>
      <c r="BG9" s="50">
        <v>69.88928</v>
      </c>
      <c r="BH9" s="50">
        <v>57.22136</v>
      </c>
      <c r="BI9" s="50">
        <v>78.37991</v>
      </c>
      <c r="BJ9" s="50">
        <v>43.99008</v>
      </c>
      <c r="BK9" s="50">
        <v>74.97403</v>
      </c>
      <c r="BM9" s="50">
        <v>67.90826</v>
      </c>
      <c r="BN9" s="50">
        <v>58.39851</v>
      </c>
      <c r="BO9" s="50">
        <v>79.43102</v>
      </c>
      <c r="BP9" s="50">
        <v>44.14804</v>
      </c>
      <c r="BQ9" s="50">
        <v>78.82506</v>
      </c>
    </row>
    <row r="10" spans="1:71" ht="12.75">
      <c r="A10" s="2">
        <f>VLOOKUP(E10,'SHA cluster table data'!B10:C177,2,FALSE)</f>
      </c>
      <c r="B10" s="2">
        <v>7</v>
      </c>
      <c r="C10" s="42" t="str">
        <f>VLOOKUP(E10,'SHA cluster table data'!$B$4:$G$171,6,FALSE)</f>
        <v>Q36</v>
      </c>
      <c r="D10" s="219" t="s">
        <v>61</v>
      </c>
      <c r="E10" s="71" t="s">
        <v>390</v>
      </c>
      <c r="F10" s="71">
        <v>7</v>
      </c>
      <c r="G10" s="104" t="s">
        <v>426</v>
      </c>
      <c r="H10" s="154">
        <f t="shared" si="0"/>
        <v>63.37417110988224</v>
      </c>
      <c r="I10" s="155">
        <f t="shared" si="1"/>
        <v>60.78579890432993</v>
      </c>
      <c r="J10" s="63">
        <v>65.85520984075228</v>
      </c>
      <c r="K10" s="63">
        <v>64.335974</v>
      </c>
      <c r="L10" s="63">
        <v>67.310958</v>
      </c>
      <c r="M10" s="63">
        <v>64.68605600000001</v>
      </c>
      <c r="N10" s="63">
        <v>67.21723</v>
      </c>
      <c r="O10" s="63">
        <v>63.977920000000005</v>
      </c>
      <c r="P10" s="86"/>
      <c r="Q10" s="103" t="s">
        <v>426</v>
      </c>
      <c r="R10" s="103" t="s">
        <v>426</v>
      </c>
      <c r="S10" s="103" t="s">
        <v>426</v>
      </c>
      <c r="T10" s="103" t="s">
        <v>426</v>
      </c>
      <c r="U10" s="103" t="s">
        <v>426</v>
      </c>
      <c r="V10" s="86"/>
      <c r="W10" s="158">
        <v>68.1216256794658</v>
      </c>
      <c r="X10" s="158">
        <v>51.6967800903575</v>
      </c>
      <c r="Y10" s="158">
        <v>79.6380423983307</v>
      </c>
      <c r="Z10" s="158">
        <v>45.7624475779868</v>
      </c>
      <c r="AA10" s="158">
        <v>71.6519598032704</v>
      </c>
      <c r="AB10" s="159"/>
      <c r="AC10" s="158">
        <v>65.2470687032425</v>
      </c>
      <c r="AD10" s="158">
        <v>52.319685321895</v>
      </c>
      <c r="AE10" s="158">
        <v>76.2711575642786</v>
      </c>
      <c r="AF10" s="158">
        <v>44.0010366984323</v>
      </c>
      <c r="AG10" s="158">
        <v>66.0900462338013</v>
      </c>
      <c r="AH10" s="9"/>
      <c r="AI10" s="63">
        <v>69.9287857745071</v>
      </c>
      <c r="AJ10" s="63">
        <v>55.4587083280209</v>
      </c>
      <c r="AK10" s="63">
        <v>79.6878067136462</v>
      </c>
      <c r="AL10" s="63">
        <v>48.3644773821667</v>
      </c>
      <c r="AM10" s="63">
        <v>75.8362710054205</v>
      </c>
      <c r="AN10" s="9"/>
      <c r="AO10" s="50">
        <v>67.77139</v>
      </c>
      <c r="AP10" s="50">
        <v>53.28217</v>
      </c>
      <c r="AQ10" s="50">
        <v>79.48754</v>
      </c>
      <c r="AR10" s="50">
        <v>48.00947</v>
      </c>
      <c r="AS10" s="50">
        <v>73.1293</v>
      </c>
      <c r="AU10" s="50">
        <v>67.00909</v>
      </c>
      <c r="AV10" s="50">
        <v>57.02073</v>
      </c>
      <c r="AW10" s="50">
        <v>81.56247</v>
      </c>
      <c r="AX10" s="50">
        <v>49.13264</v>
      </c>
      <c r="AY10" s="50">
        <v>81.82986</v>
      </c>
      <c r="BA10" s="50">
        <v>68.38908</v>
      </c>
      <c r="BB10" s="50">
        <v>51.20071</v>
      </c>
      <c r="BC10" s="50">
        <v>76.56855</v>
      </c>
      <c r="BD10" s="50">
        <v>49.59418</v>
      </c>
      <c r="BE10" s="50">
        <v>77.67776</v>
      </c>
      <c r="BG10" s="50">
        <v>71.92635</v>
      </c>
      <c r="BH10" s="50">
        <v>59.62046</v>
      </c>
      <c r="BI10" s="50">
        <v>78.2596</v>
      </c>
      <c r="BJ10" s="50">
        <v>46.88134</v>
      </c>
      <c r="BK10" s="50">
        <v>79.3984</v>
      </c>
      <c r="BM10" s="50">
        <v>68.10503</v>
      </c>
      <c r="BN10" s="50">
        <v>55.8503</v>
      </c>
      <c r="BO10" s="50">
        <v>76.57926</v>
      </c>
      <c r="BP10" s="50">
        <v>47.72019</v>
      </c>
      <c r="BQ10" s="50">
        <v>71.63482</v>
      </c>
      <c r="BS10" s="172" t="s">
        <v>483</v>
      </c>
    </row>
    <row r="11" spans="1:82" ht="12.75">
      <c r="A11" s="2">
        <f>VLOOKUP(E11,'SHA cluster table data'!B10:C178,2,FALSE)</f>
        <v>7</v>
      </c>
      <c r="B11" s="1">
        <v>8</v>
      </c>
      <c r="C11" s="42" t="str">
        <f>VLOOKUP(E11,'SHA cluster table data'!$B$4:$G$171,6,FALSE)</f>
        <v>Q36</v>
      </c>
      <c r="D11" s="23" t="s">
        <v>438</v>
      </c>
      <c r="E11" s="161" t="s">
        <v>439</v>
      </c>
      <c r="F11" s="71">
        <v>8</v>
      </c>
      <c r="G11" s="104">
        <v>63.3192662050682</v>
      </c>
      <c r="H11" s="154" t="s">
        <v>426</v>
      </c>
      <c r="I11" s="155" t="s">
        <v>426</v>
      </c>
      <c r="J11" s="63" t="s">
        <v>426</v>
      </c>
      <c r="K11" s="63" t="s">
        <v>426</v>
      </c>
      <c r="L11" s="63" t="s">
        <v>426</v>
      </c>
      <c r="M11" s="63" t="s">
        <v>426</v>
      </c>
      <c r="N11" s="63" t="s">
        <v>426</v>
      </c>
      <c r="O11" s="63" t="s">
        <v>426</v>
      </c>
      <c r="P11" s="86"/>
      <c r="Q11" s="103">
        <v>66.440715067173</v>
      </c>
      <c r="R11" s="103">
        <v>47.0389321674485</v>
      </c>
      <c r="S11" s="103">
        <v>84.099379552945</v>
      </c>
      <c r="T11" s="103">
        <v>42.6575322763769</v>
      </c>
      <c r="U11" s="103">
        <v>76.3597719613974</v>
      </c>
      <c r="V11" s="86"/>
      <c r="W11" s="158" t="s">
        <v>426</v>
      </c>
      <c r="X11" s="158" t="s">
        <v>426</v>
      </c>
      <c r="Y11" s="158" t="s">
        <v>426</v>
      </c>
      <c r="Z11" s="158" t="s">
        <v>426</v>
      </c>
      <c r="AA11" s="158" t="s">
        <v>426</v>
      </c>
      <c r="AB11" s="160"/>
      <c r="AC11" s="158" t="s">
        <v>426</v>
      </c>
      <c r="AD11" s="158" t="s">
        <v>426</v>
      </c>
      <c r="AE11" s="158" t="s">
        <v>426</v>
      </c>
      <c r="AF11" s="158" t="s">
        <v>426</v>
      </c>
      <c r="AG11" s="158" t="s">
        <v>426</v>
      </c>
      <c r="AI11" s="23" t="s">
        <v>426</v>
      </c>
      <c r="AJ11" s="23" t="s">
        <v>426</v>
      </c>
      <c r="AK11" s="23" t="s">
        <v>426</v>
      </c>
      <c r="AL11" s="23" t="s">
        <v>426</v>
      </c>
      <c r="AM11" s="23" t="s">
        <v>426</v>
      </c>
      <c r="AO11" s="23" t="s">
        <v>426</v>
      </c>
      <c r="AP11" s="23" t="s">
        <v>426</v>
      </c>
      <c r="AQ11" s="23" t="s">
        <v>426</v>
      </c>
      <c r="AR11" s="23" t="s">
        <v>426</v>
      </c>
      <c r="AS11" s="23" t="s">
        <v>426</v>
      </c>
      <c r="AU11" s="23" t="s">
        <v>426</v>
      </c>
      <c r="AV11" s="23" t="s">
        <v>426</v>
      </c>
      <c r="AW11" s="23" t="s">
        <v>426</v>
      </c>
      <c r="AX11" s="23" t="s">
        <v>426</v>
      </c>
      <c r="AY11" s="23" t="s">
        <v>426</v>
      </c>
      <c r="BA11" s="23" t="s">
        <v>426</v>
      </c>
      <c r="BB11" s="23" t="s">
        <v>426</v>
      </c>
      <c r="BC11" s="23" t="s">
        <v>426</v>
      </c>
      <c r="BD11" s="23" t="s">
        <v>426</v>
      </c>
      <c r="BE11" s="23" t="s">
        <v>426</v>
      </c>
      <c r="BG11" s="23" t="s">
        <v>426</v>
      </c>
      <c r="BH11" s="23" t="s">
        <v>426</v>
      </c>
      <c r="BI11" s="23" t="s">
        <v>426</v>
      </c>
      <c r="BJ11" s="23" t="s">
        <v>426</v>
      </c>
      <c r="BK11" s="23" t="s">
        <v>426</v>
      </c>
      <c r="BM11" s="23" t="s">
        <v>426</v>
      </c>
      <c r="BN11" s="23" t="s">
        <v>426</v>
      </c>
      <c r="BO11" s="23" t="s">
        <v>426</v>
      </c>
      <c r="BP11" s="23" t="s">
        <v>426</v>
      </c>
      <c r="BQ11" s="23" t="s">
        <v>426</v>
      </c>
      <c r="BS11" s="210" t="s">
        <v>486</v>
      </c>
      <c r="BT11" s="1"/>
      <c r="BU11" s="1"/>
      <c r="BV11" s="1"/>
      <c r="BW11" s="1"/>
      <c r="BX11" s="1"/>
      <c r="BY11" s="1"/>
      <c r="BZ11" s="1"/>
      <c r="CA11" s="1"/>
      <c r="CB11" s="1"/>
      <c r="CC11" s="1"/>
      <c r="CD11" s="1"/>
    </row>
    <row r="12" spans="1:69" ht="12.75">
      <c r="A12" s="2">
        <f>VLOOKUP(E12,'SHA cluster table data'!B11:C179,2,FALSE)</f>
        <v>8</v>
      </c>
      <c r="B12" s="2">
        <v>9</v>
      </c>
      <c r="C12" s="42" t="str">
        <f>VLOOKUP(E12,'SHA cluster table data'!$B$4:$G$171,6,FALSE)</f>
        <v>Q34</v>
      </c>
      <c r="D12" s="42" t="s">
        <v>428</v>
      </c>
      <c r="E12" s="71" t="s">
        <v>75</v>
      </c>
      <c r="F12" s="71">
        <v>9</v>
      </c>
      <c r="G12" s="104">
        <v>65.4853101391962</v>
      </c>
      <c r="H12" s="154">
        <f t="shared" si="0"/>
        <v>67.37043637493288</v>
      </c>
      <c r="I12" s="155">
        <f t="shared" si="1"/>
        <v>66.39745047048795</v>
      </c>
      <c r="J12" s="63">
        <v>65.55359576267531</v>
      </c>
      <c r="K12" s="63">
        <v>64.52645</v>
      </c>
      <c r="L12" s="63">
        <v>62.438463999999996</v>
      </c>
      <c r="M12" s="63">
        <v>65.508148</v>
      </c>
      <c r="N12" s="63">
        <v>65.618224</v>
      </c>
      <c r="O12" s="63">
        <v>66.59233400000001</v>
      </c>
      <c r="P12" s="86"/>
      <c r="Q12" s="103">
        <v>68.679425194347</v>
      </c>
      <c r="R12" s="103">
        <v>53.555378302558</v>
      </c>
      <c r="S12" s="103">
        <v>83.5982807482893</v>
      </c>
      <c r="T12" s="103">
        <v>41.3940810167482</v>
      </c>
      <c r="U12" s="103">
        <v>80.1993854340384</v>
      </c>
      <c r="V12" s="86"/>
      <c r="W12" s="158">
        <v>70.897049582715</v>
      </c>
      <c r="X12" s="158">
        <v>59.5715558202476</v>
      </c>
      <c r="Y12" s="158">
        <v>83.470462182801</v>
      </c>
      <c r="Z12" s="158">
        <v>43.32926045686</v>
      </c>
      <c r="AA12" s="158">
        <v>79.5838538320408</v>
      </c>
      <c r="AB12" s="159"/>
      <c r="AC12" s="158">
        <v>69.3302768857787</v>
      </c>
      <c r="AD12" s="158">
        <v>58.9867991929691</v>
      </c>
      <c r="AE12" s="158">
        <v>82.4919146062437</v>
      </c>
      <c r="AF12" s="158">
        <v>45.4889900230836</v>
      </c>
      <c r="AG12" s="158">
        <v>75.6892716443647</v>
      </c>
      <c r="AH12" s="9"/>
      <c r="AI12" s="63">
        <v>67.3225653841249</v>
      </c>
      <c r="AJ12" s="63">
        <v>59.0748042807823</v>
      </c>
      <c r="AK12" s="63">
        <v>80.9013334651379</v>
      </c>
      <c r="AL12" s="63">
        <v>46.1056276721895</v>
      </c>
      <c r="AM12" s="63">
        <v>74.363648011142</v>
      </c>
      <c r="AN12" s="9"/>
      <c r="AO12" s="50">
        <v>68.61509</v>
      </c>
      <c r="AP12" s="50">
        <v>56.09282</v>
      </c>
      <c r="AQ12" s="50">
        <v>80.16721</v>
      </c>
      <c r="AR12" s="50">
        <v>42.36554</v>
      </c>
      <c r="AS12" s="50">
        <v>75.39159</v>
      </c>
      <c r="AU12" s="50">
        <v>67.34052</v>
      </c>
      <c r="AV12" s="50">
        <v>53.68134</v>
      </c>
      <c r="AW12" s="50">
        <v>78.89972</v>
      </c>
      <c r="AX12" s="50">
        <v>37.98209</v>
      </c>
      <c r="AY12" s="50">
        <v>74.28865</v>
      </c>
      <c r="BA12" s="50">
        <v>68.69511</v>
      </c>
      <c r="BB12" s="50">
        <v>58.00979</v>
      </c>
      <c r="BC12" s="50">
        <v>79.94481</v>
      </c>
      <c r="BD12" s="50">
        <v>42.95103</v>
      </c>
      <c r="BE12" s="50">
        <v>77.94</v>
      </c>
      <c r="BG12" s="50">
        <v>68.89219</v>
      </c>
      <c r="BH12" s="50">
        <v>55.66909</v>
      </c>
      <c r="BI12" s="50">
        <v>78.71851</v>
      </c>
      <c r="BJ12" s="50">
        <v>43.08445</v>
      </c>
      <c r="BK12" s="50">
        <v>81.72688</v>
      </c>
      <c r="BM12" s="50">
        <v>67.20061</v>
      </c>
      <c r="BN12" s="50">
        <v>58.85688</v>
      </c>
      <c r="BO12" s="50">
        <v>78.83479</v>
      </c>
      <c r="BP12" s="50">
        <v>48.97437</v>
      </c>
      <c r="BQ12" s="50">
        <v>79.09502</v>
      </c>
    </row>
    <row r="13" spans="1:71" ht="12.75">
      <c r="A13" s="2">
        <f>VLOOKUP(E13,'SHA cluster table data'!B12:C180,2,FALSE)</f>
        <v>9</v>
      </c>
      <c r="B13" s="2">
        <v>10</v>
      </c>
      <c r="C13" s="42" t="str">
        <f>VLOOKUP(E13,'SHA cluster table data'!$B$4:$G$171,6,FALSE)</f>
        <v>Q39</v>
      </c>
      <c r="D13" s="213" t="s">
        <v>260</v>
      </c>
      <c r="E13" s="71" t="s">
        <v>394</v>
      </c>
      <c r="F13" s="71">
        <v>10</v>
      </c>
      <c r="G13" s="104">
        <v>68.7779419927434</v>
      </c>
      <c r="H13" s="154">
        <f t="shared" si="0"/>
        <v>69.19196097868867</v>
      </c>
      <c r="I13" s="155">
        <f t="shared" si="1"/>
        <v>67.61886121504236</v>
      </c>
      <c r="J13" s="63">
        <v>68.91638233039944</v>
      </c>
      <c r="K13" s="63">
        <v>69.45793</v>
      </c>
      <c r="L13" s="63">
        <v>65.58806999999999</v>
      </c>
      <c r="M13" s="63">
        <v>67.0299</v>
      </c>
      <c r="N13" s="63">
        <v>69.895462</v>
      </c>
      <c r="O13" s="63">
        <v>66.85893200000001</v>
      </c>
      <c r="P13" s="86"/>
      <c r="Q13" s="103">
        <v>76.6992310592144</v>
      </c>
      <c r="R13" s="103">
        <v>58.0293042196791</v>
      </c>
      <c r="S13" s="103">
        <v>81.441815623212</v>
      </c>
      <c r="T13" s="103">
        <v>46.3179776613363</v>
      </c>
      <c r="U13" s="103">
        <v>81.4013814002753</v>
      </c>
      <c r="V13" s="86"/>
      <c r="W13" s="158">
        <v>71.4150757393177</v>
      </c>
      <c r="X13" s="158">
        <v>60.687840903857</v>
      </c>
      <c r="Y13" s="158">
        <v>83.4564957919422</v>
      </c>
      <c r="Z13" s="158">
        <v>51.9670826892768</v>
      </c>
      <c r="AA13" s="158">
        <v>78.4333097690496</v>
      </c>
      <c r="AB13" s="159"/>
      <c r="AC13" s="158">
        <v>71.3590147990847</v>
      </c>
      <c r="AD13" s="158">
        <v>60.960872689015</v>
      </c>
      <c r="AE13" s="158">
        <v>83.0839288183854</v>
      </c>
      <c r="AF13" s="158">
        <v>45.1221114040321</v>
      </c>
      <c r="AG13" s="158">
        <v>77.5683783646946</v>
      </c>
      <c r="AH13" s="9"/>
      <c r="AI13" s="63">
        <v>69.768585282427</v>
      </c>
      <c r="AJ13" s="63">
        <v>62.7410432344485</v>
      </c>
      <c r="AK13" s="63">
        <v>82.6232619176419</v>
      </c>
      <c r="AL13" s="63">
        <v>49.8814858588133</v>
      </c>
      <c r="AM13" s="63">
        <v>79.5675353586666</v>
      </c>
      <c r="AN13" s="9"/>
      <c r="AO13" s="50">
        <v>74.71065</v>
      </c>
      <c r="AP13" s="50">
        <v>63.35815</v>
      </c>
      <c r="AQ13" s="50">
        <v>80.93578</v>
      </c>
      <c r="AR13" s="50">
        <v>50.37146</v>
      </c>
      <c r="AS13" s="50">
        <v>77.91361</v>
      </c>
      <c r="AU13" s="50">
        <v>72.55788</v>
      </c>
      <c r="AV13" s="50">
        <v>57.50539</v>
      </c>
      <c r="AW13" s="50">
        <v>79.92129</v>
      </c>
      <c r="AX13" s="50">
        <v>44.17297</v>
      </c>
      <c r="AY13" s="50">
        <v>73.78282</v>
      </c>
      <c r="BA13" s="50">
        <v>73.97763</v>
      </c>
      <c r="BB13" s="50">
        <v>60.22237</v>
      </c>
      <c r="BC13" s="50">
        <v>80.02399</v>
      </c>
      <c r="BD13" s="50">
        <v>43.86523</v>
      </c>
      <c r="BE13" s="50">
        <v>77.06028</v>
      </c>
      <c r="BG13" s="50">
        <v>74.6283</v>
      </c>
      <c r="BH13" s="50">
        <v>62.0306</v>
      </c>
      <c r="BI13" s="50">
        <v>83.38348</v>
      </c>
      <c r="BJ13" s="50">
        <v>51.58868</v>
      </c>
      <c r="BK13" s="50">
        <v>77.84625</v>
      </c>
      <c r="BM13" s="50">
        <v>68.68774</v>
      </c>
      <c r="BN13" s="50">
        <v>60.87395</v>
      </c>
      <c r="BO13" s="50">
        <v>80.63388</v>
      </c>
      <c r="BP13" s="50">
        <v>46.08558</v>
      </c>
      <c r="BQ13" s="50">
        <v>78.01351</v>
      </c>
      <c r="BS13" s="185" t="s">
        <v>490</v>
      </c>
    </row>
    <row r="14" spans="1:69" ht="12.75">
      <c r="A14" s="2">
        <f>VLOOKUP(E14,'SHA cluster table data'!B13:C181,2,FALSE)</f>
        <v>10</v>
      </c>
      <c r="B14" s="2">
        <v>11</v>
      </c>
      <c r="C14" s="42" t="str">
        <f>VLOOKUP(E14,'SHA cluster table data'!$B$4:$G$171,6,FALSE)</f>
        <v>Q34</v>
      </c>
      <c r="D14" s="42" t="s">
        <v>30</v>
      </c>
      <c r="E14" s="71" t="s">
        <v>349</v>
      </c>
      <c r="F14" s="71">
        <v>11</v>
      </c>
      <c r="G14" s="104">
        <v>64.2361900241062</v>
      </c>
      <c r="H14" s="154">
        <f t="shared" si="0"/>
        <v>66.76331432532675</v>
      </c>
      <c r="I14" s="155">
        <f t="shared" si="1"/>
        <v>64.2112560834493</v>
      </c>
      <c r="J14" s="63">
        <v>61.637576683127335</v>
      </c>
      <c r="K14" s="63">
        <v>65.908094</v>
      </c>
      <c r="L14" s="63">
        <v>61.439218000000004</v>
      </c>
      <c r="M14" s="63">
        <v>67.547226</v>
      </c>
      <c r="N14" s="63">
        <v>65.817254</v>
      </c>
      <c r="O14" s="63">
        <v>62.65349799999999</v>
      </c>
      <c r="P14" s="86"/>
      <c r="Q14" s="103">
        <v>70.4651322072099</v>
      </c>
      <c r="R14" s="103">
        <v>54.2433289093344</v>
      </c>
      <c r="S14" s="103">
        <v>80.3616366493685</v>
      </c>
      <c r="T14" s="103">
        <v>43.6440755413967</v>
      </c>
      <c r="U14" s="103">
        <v>72.4667768132216</v>
      </c>
      <c r="V14" s="86"/>
      <c r="W14" s="158">
        <v>68.2704503775384</v>
      </c>
      <c r="X14" s="158">
        <v>60.262688738895</v>
      </c>
      <c r="Y14" s="158">
        <v>80.9404165968876</v>
      </c>
      <c r="Z14" s="158">
        <v>48.6758933362436</v>
      </c>
      <c r="AA14" s="158">
        <v>75.6671225770692</v>
      </c>
      <c r="AB14" s="159"/>
      <c r="AC14" s="158">
        <v>70.1957327988576</v>
      </c>
      <c r="AD14" s="158">
        <v>58.9161046151171</v>
      </c>
      <c r="AE14" s="158">
        <v>81.0291992307549</v>
      </c>
      <c r="AF14" s="158">
        <v>40.8536154377159</v>
      </c>
      <c r="AG14" s="158">
        <v>70.061628334801</v>
      </c>
      <c r="AH14" s="9"/>
      <c r="AI14" s="63">
        <v>64.4057126216091</v>
      </c>
      <c r="AJ14" s="63">
        <v>54.9716704060406</v>
      </c>
      <c r="AK14" s="63">
        <v>77.3210067703028</v>
      </c>
      <c r="AL14" s="63">
        <v>39.4419988387999</v>
      </c>
      <c r="AM14" s="63">
        <v>72.0474947788843</v>
      </c>
      <c r="AN14" s="9"/>
      <c r="AO14" s="50">
        <v>72.63453</v>
      </c>
      <c r="AP14" s="50">
        <v>58.31248</v>
      </c>
      <c r="AQ14" s="50">
        <v>80.5347</v>
      </c>
      <c r="AR14" s="50">
        <v>45.20686</v>
      </c>
      <c r="AS14" s="50">
        <v>72.8519</v>
      </c>
      <c r="AU14" s="50">
        <v>68.09816</v>
      </c>
      <c r="AV14" s="50">
        <v>53.97033</v>
      </c>
      <c r="AW14" s="50">
        <v>77.52571</v>
      </c>
      <c r="AX14" s="50">
        <v>37.32204</v>
      </c>
      <c r="AY14" s="50">
        <v>70.27985</v>
      </c>
      <c r="BA14" s="50">
        <v>72.25121</v>
      </c>
      <c r="BB14" s="50">
        <v>59.85468</v>
      </c>
      <c r="BC14" s="50">
        <v>80.42725</v>
      </c>
      <c r="BD14" s="50">
        <v>50.56813</v>
      </c>
      <c r="BE14" s="50">
        <v>74.63486</v>
      </c>
      <c r="BG14" s="50">
        <v>71.76749</v>
      </c>
      <c r="BH14" s="50">
        <v>60.60705</v>
      </c>
      <c r="BI14" s="50">
        <v>78.02356</v>
      </c>
      <c r="BJ14" s="50">
        <v>45.91082</v>
      </c>
      <c r="BK14" s="50">
        <v>72.77735</v>
      </c>
      <c r="BM14" s="50">
        <v>68.31107</v>
      </c>
      <c r="BN14" s="50">
        <v>54.3165</v>
      </c>
      <c r="BO14" s="50">
        <v>77.56024</v>
      </c>
      <c r="BP14" s="50">
        <v>41.70028</v>
      </c>
      <c r="BQ14" s="50">
        <v>71.3794</v>
      </c>
    </row>
    <row r="15" spans="1:69" ht="12.75">
      <c r="A15" s="2">
        <f>VLOOKUP(E15,'SHA cluster table data'!B14:C182,2,FALSE)</f>
        <v>11</v>
      </c>
      <c r="B15" s="1">
        <v>12</v>
      </c>
      <c r="C15" s="42" t="str">
        <f>VLOOKUP(E15,'SHA cluster table data'!$B$4:$G$171,6,FALSE)</f>
        <v>Q34</v>
      </c>
      <c r="D15" s="42" t="s">
        <v>53</v>
      </c>
      <c r="E15" s="71" t="s">
        <v>76</v>
      </c>
      <c r="F15" s="71">
        <v>12</v>
      </c>
      <c r="G15" s="104">
        <v>77.0518209221131</v>
      </c>
      <c r="H15" s="154">
        <f t="shared" si="0"/>
        <v>73.8470259812455</v>
      </c>
      <c r="I15" s="155">
        <f t="shared" si="1"/>
        <v>75.62600337130178</v>
      </c>
      <c r="J15" s="63">
        <v>78.31966198573437</v>
      </c>
      <c r="K15" s="63">
        <v>75.94028</v>
      </c>
      <c r="L15" s="63">
        <v>78.06204</v>
      </c>
      <c r="M15" s="63">
        <v>69.552534</v>
      </c>
      <c r="N15" s="63">
        <v>75.927538</v>
      </c>
      <c r="O15" s="63">
        <v>71.247612</v>
      </c>
      <c r="P15" s="86"/>
      <c r="Q15" s="103">
        <v>86.0995851106541</v>
      </c>
      <c r="R15" s="103">
        <v>72.4056432560093</v>
      </c>
      <c r="S15" s="103">
        <v>82.5403798453064</v>
      </c>
      <c r="T15" s="103">
        <v>51.5694102935275</v>
      </c>
      <c r="U15" s="103">
        <v>92.644086105068</v>
      </c>
      <c r="V15" s="86"/>
      <c r="W15" s="158">
        <v>76.192318737458</v>
      </c>
      <c r="X15" s="158">
        <v>67.3513310483066</v>
      </c>
      <c r="Y15" s="158">
        <v>84.5806865403443</v>
      </c>
      <c r="Z15" s="158">
        <v>52.2486813240938</v>
      </c>
      <c r="AA15" s="158">
        <v>88.8621122560248</v>
      </c>
      <c r="AB15" s="159"/>
      <c r="AC15" s="158">
        <v>75.4253582637279</v>
      </c>
      <c r="AD15" s="158">
        <v>67.6545838440611</v>
      </c>
      <c r="AE15" s="158">
        <v>81.1237305154017</v>
      </c>
      <c r="AF15" s="158">
        <v>61.6050770295196</v>
      </c>
      <c r="AG15" s="158">
        <v>92.3212672037986</v>
      </c>
      <c r="AH15" s="9"/>
      <c r="AI15" s="63">
        <v>79.0868105728479</v>
      </c>
      <c r="AJ15" s="63">
        <v>79.2535051428994</v>
      </c>
      <c r="AK15" s="63">
        <v>86.3152614469485</v>
      </c>
      <c r="AL15" s="63">
        <v>59.5222634679057</v>
      </c>
      <c r="AM15" s="63">
        <v>87.4204692980703</v>
      </c>
      <c r="AN15" s="9"/>
      <c r="AO15" s="50">
        <v>82.19425</v>
      </c>
      <c r="AP15" s="50">
        <v>73.90984</v>
      </c>
      <c r="AQ15" s="50">
        <v>79.97886</v>
      </c>
      <c r="AR15" s="50">
        <v>55.25655</v>
      </c>
      <c r="AS15" s="50">
        <v>88.3619</v>
      </c>
      <c r="AU15" s="50">
        <v>80.36591</v>
      </c>
      <c r="AV15" s="50">
        <v>79.19722</v>
      </c>
      <c r="AW15" s="50">
        <v>85.55449</v>
      </c>
      <c r="AX15" s="50">
        <v>58.80368</v>
      </c>
      <c r="AY15" s="50">
        <v>86.3889</v>
      </c>
      <c r="BA15" s="50">
        <v>72.64502</v>
      </c>
      <c r="BB15" s="50">
        <v>64.78394</v>
      </c>
      <c r="BC15" s="50">
        <v>76.49418</v>
      </c>
      <c r="BD15" s="50">
        <v>43.98451</v>
      </c>
      <c r="BE15" s="50">
        <v>89.85502</v>
      </c>
      <c r="BG15" s="50">
        <v>82.84534</v>
      </c>
      <c r="BH15" s="50">
        <v>66.54029</v>
      </c>
      <c r="BI15" s="50">
        <v>81.28394</v>
      </c>
      <c r="BJ15" s="50">
        <v>60.35595</v>
      </c>
      <c r="BK15" s="50">
        <v>88.61217</v>
      </c>
      <c r="BM15" s="50">
        <v>75.85559</v>
      </c>
      <c r="BN15" s="50">
        <v>71.77087</v>
      </c>
      <c r="BO15" s="50">
        <v>78.72383</v>
      </c>
      <c r="BP15" s="50">
        <v>44.04345</v>
      </c>
      <c r="BQ15" s="50">
        <v>85.84432</v>
      </c>
    </row>
    <row r="16" spans="1:69" ht="12.75">
      <c r="A16" s="2">
        <f>VLOOKUP(E16,'SHA cluster table data'!B15:C183,2,FALSE)</f>
        <v>12</v>
      </c>
      <c r="B16" s="2">
        <v>13</v>
      </c>
      <c r="C16" s="42" t="str">
        <f>VLOOKUP(E16,'SHA cluster table data'!$B$4:$G$171,6,FALSE)</f>
        <v>Q31</v>
      </c>
      <c r="D16" s="42" t="s">
        <v>113</v>
      </c>
      <c r="E16" s="71" t="s">
        <v>331</v>
      </c>
      <c r="F16" s="71">
        <v>13</v>
      </c>
      <c r="G16" s="104">
        <v>65.6083495866062</v>
      </c>
      <c r="H16" s="154">
        <f t="shared" si="0"/>
        <v>67.03355216496564</v>
      </c>
      <c r="I16" s="155">
        <f t="shared" si="1"/>
        <v>68.32277018239297</v>
      </c>
      <c r="J16" s="63">
        <v>66.11450986228468</v>
      </c>
      <c r="K16" s="63">
        <v>66.46815799999999</v>
      </c>
      <c r="L16" s="63">
        <v>65.627264</v>
      </c>
      <c r="M16" s="63">
        <v>65.03605400000001</v>
      </c>
      <c r="N16" s="63">
        <v>66.750544</v>
      </c>
      <c r="O16" s="63">
        <v>64.35365</v>
      </c>
      <c r="P16" s="86"/>
      <c r="Q16" s="103">
        <v>66.4911076279053</v>
      </c>
      <c r="R16" s="103">
        <v>56.4419995038581</v>
      </c>
      <c r="S16" s="103">
        <v>84.5395972943268</v>
      </c>
      <c r="T16" s="103">
        <v>44.4571129940052</v>
      </c>
      <c r="U16" s="103">
        <v>76.1119305129355</v>
      </c>
      <c r="V16" s="86"/>
      <c r="W16" s="158">
        <v>69.7731046680844</v>
      </c>
      <c r="X16" s="158">
        <v>63.8131548676551</v>
      </c>
      <c r="Y16" s="158">
        <v>82.4168328877734</v>
      </c>
      <c r="Z16" s="158">
        <v>43.2634375117138</v>
      </c>
      <c r="AA16" s="158">
        <v>75.90123088960149</v>
      </c>
      <c r="AB16" s="159"/>
      <c r="AC16" s="158">
        <v>70.367109159247</v>
      </c>
      <c r="AD16" s="158">
        <v>61.8410460340406</v>
      </c>
      <c r="AE16" s="158">
        <v>81.9287469885154</v>
      </c>
      <c r="AF16" s="158">
        <v>50.3218710522284</v>
      </c>
      <c r="AG16" s="158">
        <v>77.1550776779334</v>
      </c>
      <c r="AH16" s="9"/>
      <c r="AI16" s="63">
        <v>70.8198330770525</v>
      </c>
      <c r="AJ16" s="63">
        <v>60.7372001421398</v>
      </c>
      <c r="AK16" s="63">
        <v>82.6837312238494</v>
      </c>
      <c r="AL16" s="63">
        <v>43.7996030759961</v>
      </c>
      <c r="AM16" s="63">
        <v>72.5321817923856</v>
      </c>
      <c r="AN16" s="9"/>
      <c r="AO16" s="50">
        <v>69.8575</v>
      </c>
      <c r="AP16" s="50">
        <v>63.50316</v>
      </c>
      <c r="AQ16" s="50">
        <v>80.16308</v>
      </c>
      <c r="AR16" s="50">
        <v>43.59772</v>
      </c>
      <c r="AS16" s="50">
        <v>75.21933</v>
      </c>
      <c r="AU16" s="50">
        <v>69.12248</v>
      </c>
      <c r="AV16" s="50">
        <v>57.31862</v>
      </c>
      <c r="AW16" s="50">
        <v>82.61157</v>
      </c>
      <c r="AX16" s="50">
        <v>43.37216</v>
      </c>
      <c r="AY16" s="50">
        <v>75.71149</v>
      </c>
      <c r="BA16" s="50">
        <v>68.85088</v>
      </c>
      <c r="BB16" s="50">
        <v>60.64759</v>
      </c>
      <c r="BC16" s="50">
        <v>77.54445</v>
      </c>
      <c r="BD16" s="50">
        <v>43.34432</v>
      </c>
      <c r="BE16" s="50">
        <v>74.79303</v>
      </c>
      <c r="BG16" s="50">
        <v>67.76027</v>
      </c>
      <c r="BH16" s="50">
        <v>55.55325</v>
      </c>
      <c r="BI16" s="50">
        <v>80.55533</v>
      </c>
      <c r="BJ16" s="50">
        <v>51.82047</v>
      </c>
      <c r="BK16" s="50">
        <v>78.0634</v>
      </c>
      <c r="BM16" s="50">
        <v>68.4292</v>
      </c>
      <c r="BN16" s="50">
        <v>60.56337</v>
      </c>
      <c r="BO16" s="50">
        <v>79.26494</v>
      </c>
      <c r="BP16" s="50">
        <v>40.70571</v>
      </c>
      <c r="BQ16" s="50">
        <v>72.80503</v>
      </c>
    </row>
    <row r="17" spans="1:69" ht="12.75">
      <c r="A17" s="2">
        <f>VLOOKUP(E17,'SHA cluster table data'!B16:C184,2,FALSE)</f>
        <v>13</v>
      </c>
      <c r="B17" s="2">
        <v>14</v>
      </c>
      <c r="C17" s="42" t="str">
        <f>VLOOKUP(E17,'SHA cluster table data'!$B$4:$G$171,6,FALSE)</f>
        <v>Q31</v>
      </c>
      <c r="D17" s="42" t="s">
        <v>36</v>
      </c>
      <c r="E17" s="71" t="s">
        <v>370</v>
      </c>
      <c r="F17" s="71">
        <v>14</v>
      </c>
      <c r="G17" s="104">
        <v>62.8883575536011</v>
      </c>
      <c r="H17" s="154">
        <f t="shared" si="0"/>
        <v>66.96824089883317</v>
      </c>
      <c r="I17" s="155">
        <f t="shared" si="1"/>
        <v>65.22834461912672</v>
      </c>
      <c r="J17" s="63">
        <v>68.40168497894201</v>
      </c>
      <c r="K17" s="63">
        <v>64.73058</v>
      </c>
      <c r="L17" s="63">
        <v>63.201004</v>
      </c>
      <c r="M17" s="63">
        <v>63.469713999999996</v>
      </c>
      <c r="N17" s="63">
        <v>68.084654</v>
      </c>
      <c r="O17" s="63">
        <v>66.235166</v>
      </c>
      <c r="P17" s="86"/>
      <c r="Q17" s="103">
        <v>65.6995855954054</v>
      </c>
      <c r="R17" s="103">
        <v>49.9611463925405</v>
      </c>
      <c r="S17" s="103">
        <v>77.5289121722583</v>
      </c>
      <c r="T17" s="103">
        <v>41.2961932357073</v>
      </c>
      <c r="U17" s="103">
        <v>79.9559503720939</v>
      </c>
      <c r="V17" s="86"/>
      <c r="W17" s="158">
        <v>69.0565882527993</v>
      </c>
      <c r="X17" s="158">
        <v>56.9295597212325</v>
      </c>
      <c r="Y17" s="158">
        <v>79.4546546079383</v>
      </c>
      <c r="Z17" s="158">
        <v>46.6052860070089</v>
      </c>
      <c r="AA17" s="158">
        <v>82.7951159051869</v>
      </c>
      <c r="AB17" s="159"/>
      <c r="AC17" s="158">
        <v>70.0885240547437</v>
      </c>
      <c r="AD17" s="158">
        <v>57.86899386269</v>
      </c>
      <c r="AE17" s="158">
        <v>79.9453855700167</v>
      </c>
      <c r="AF17" s="158">
        <v>41.8014139951634</v>
      </c>
      <c r="AG17" s="158">
        <v>76.4374056130197</v>
      </c>
      <c r="AH17" s="9"/>
      <c r="AI17" s="63">
        <v>67.5839831875552</v>
      </c>
      <c r="AJ17" s="63">
        <v>62.1291349319205</v>
      </c>
      <c r="AK17" s="63">
        <v>79.4170424031179</v>
      </c>
      <c r="AL17" s="63">
        <v>55.151761925759</v>
      </c>
      <c r="AM17" s="63">
        <v>77.7265024463575</v>
      </c>
      <c r="AN17" s="9"/>
      <c r="AO17" s="50">
        <v>69.06499</v>
      </c>
      <c r="AP17" s="50">
        <v>51.91379</v>
      </c>
      <c r="AQ17" s="50">
        <v>78.59814</v>
      </c>
      <c r="AR17" s="50">
        <v>46.63374</v>
      </c>
      <c r="AS17" s="50">
        <v>77.44224</v>
      </c>
      <c r="AU17" s="50">
        <v>65.95311</v>
      </c>
      <c r="AV17" s="50">
        <v>47.83972</v>
      </c>
      <c r="AW17" s="50">
        <v>75.14888</v>
      </c>
      <c r="AX17" s="50">
        <v>49.79096</v>
      </c>
      <c r="AY17" s="50">
        <v>77.27235</v>
      </c>
      <c r="BA17" s="50">
        <v>68.12121</v>
      </c>
      <c r="BB17" s="50">
        <v>54.82301</v>
      </c>
      <c r="BC17" s="50">
        <v>75.20389</v>
      </c>
      <c r="BD17" s="50">
        <v>40.26926</v>
      </c>
      <c r="BE17" s="50">
        <v>78.9312</v>
      </c>
      <c r="BG17" s="50">
        <v>69.81379</v>
      </c>
      <c r="BH17" s="50">
        <v>57.24435</v>
      </c>
      <c r="BI17" s="50">
        <v>81.39694</v>
      </c>
      <c r="BJ17" s="50">
        <v>49.11145</v>
      </c>
      <c r="BK17" s="50">
        <v>82.85674</v>
      </c>
      <c r="BM17" s="50">
        <v>69.08648</v>
      </c>
      <c r="BN17" s="50">
        <v>56.40343</v>
      </c>
      <c r="BO17" s="50">
        <v>78.62036</v>
      </c>
      <c r="BP17" s="50">
        <v>45.88293</v>
      </c>
      <c r="BQ17" s="50">
        <v>81.18263</v>
      </c>
    </row>
    <row r="18" spans="1:69" ht="12.75">
      <c r="A18" s="2">
        <f>VLOOKUP(E18,'SHA cluster table data'!B17:C185,2,FALSE)</f>
        <v>14</v>
      </c>
      <c r="B18" s="2">
        <v>15</v>
      </c>
      <c r="C18" s="42" t="str">
        <f>VLOOKUP(E18,'SHA cluster table data'!$B$4:$G$171,6,FALSE)</f>
        <v>Q39</v>
      </c>
      <c r="D18" s="42" t="s">
        <v>429</v>
      </c>
      <c r="E18" s="71" t="s">
        <v>332</v>
      </c>
      <c r="F18" s="71">
        <v>15</v>
      </c>
      <c r="G18" s="104">
        <v>66.728958547311</v>
      </c>
      <c r="H18" s="156" t="s">
        <v>426</v>
      </c>
      <c r="I18" s="155">
        <f t="shared" si="1"/>
        <v>62.30885835174928</v>
      </c>
      <c r="J18" s="63">
        <v>65.97352508924669</v>
      </c>
      <c r="K18" s="63">
        <v>66.93902999999999</v>
      </c>
      <c r="L18" s="63">
        <v>66.23746200000001</v>
      </c>
      <c r="M18" s="63">
        <v>68.115248</v>
      </c>
      <c r="N18" s="63">
        <v>71.27728400000001</v>
      </c>
      <c r="O18" s="63">
        <v>68.575496</v>
      </c>
      <c r="P18" s="86"/>
      <c r="Q18" s="103">
        <v>73.1745361110904</v>
      </c>
      <c r="R18" s="103">
        <v>61.7106480478256</v>
      </c>
      <c r="S18" s="103">
        <v>83.0858274586656</v>
      </c>
      <c r="T18" s="103">
        <v>44.5198804107316</v>
      </c>
      <c r="U18" s="103">
        <v>71.1539007082417</v>
      </c>
      <c r="V18" s="86"/>
      <c r="W18" s="158" t="s">
        <v>426</v>
      </c>
      <c r="X18" s="158" t="s">
        <v>426</v>
      </c>
      <c r="Y18" s="158" t="s">
        <v>426</v>
      </c>
      <c r="Z18" s="158" t="s">
        <v>426</v>
      </c>
      <c r="AA18" s="158" t="s">
        <v>426</v>
      </c>
      <c r="AB18" s="159"/>
      <c r="AC18" s="158">
        <v>68.0023901835377</v>
      </c>
      <c r="AD18" s="158">
        <v>55.5285307377364</v>
      </c>
      <c r="AE18" s="158">
        <v>77.5373418314125</v>
      </c>
      <c r="AF18" s="158">
        <v>40.8613719419366</v>
      </c>
      <c r="AG18" s="158">
        <v>69.6146570641232</v>
      </c>
      <c r="AH18" s="9"/>
      <c r="AI18" s="63">
        <v>69.3355559562119</v>
      </c>
      <c r="AJ18" s="63">
        <v>60.3876679545194</v>
      </c>
      <c r="AK18" s="63">
        <v>79.7838803063016</v>
      </c>
      <c r="AL18" s="63">
        <v>46.230784721899</v>
      </c>
      <c r="AM18" s="63">
        <v>74.1297365073016</v>
      </c>
      <c r="AN18" s="9"/>
      <c r="AO18" s="50">
        <v>71.04625</v>
      </c>
      <c r="AP18" s="50">
        <v>63.07496</v>
      </c>
      <c r="AQ18" s="50">
        <v>81.84039</v>
      </c>
      <c r="AR18" s="50">
        <v>45.16191</v>
      </c>
      <c r="AS18" s="50">
        <v>73.57164</v>
      </c>
      <c r="AU18" s="50">
        <v>69.25983</v>
      </c>
      <c r="AV18" s="50">
        <v>59.79995</v>
      </c>
      <c r="AW18" s="50">
        <v>79.04023</v>
      </c>
      <c r="AX18" s="50">
        <v>47.6488</v>
      </c>
      <c r="AY18" s="50">
        <v>75.4385</v>
      </c>
      <c r="BA18" s="50">
        <v>71.52342</v>
      </c>
      <c r="BB18" s="50">
        <v>64.05608</v>
      </c>
      <c r="BC18" s="50">
        <v>82.51883</v>
      </c>
      <c r="BD18" s="50">
        <v>46.93589</v>
      </c>
      <c r="BE18" s="50">
        <v>75.54202</v>
      </c>
      <c r="BG18" s="50">
        <v>73.20174</v>
      </c>
      <c r="BH18" s="50">
        <v>71.82255</v>
      </c>
      <c r="BI18" s="50">
        <v>83.11167</v>
      </c>
      <c r="BJ18" s="50">
        <v>50.02123</v>
      </c>
      <c r="BK18" s="50">
        <v>78.22923</v>
      </c>
      <c r="BM18" s="50">
        <v>71.46129</v>
      </c>
      <c r="BN18" s="50">
        <v>64.03374</v>
      </c>
      <c r="BO18" s="50">
        <v>79.68703</v>
      </c>
      <c r="BP18" s="50">
        <v>52.05926</v>
      </c>
      <c r="BQ18" s="50">
        <v>75.63616</v>
      </c>
    </row>
    <row r="19" spans="1:69" ht="12.75">
      <c r="A19" s="2">
        <f>VLOOKUP(E19,'SHA cluster table data'!B18:C186,2,FALSE)</f>
      </c>
      <c r="B19" s="1">
        <v>16</v>
      </c>
      <c r="C19" s="42" t="str">
        <f>VLOOKUP(E19,'SHA cluster table data'!$B$4:$G$171,6,FALSE)</f>
        <v>Q36</v>
      </c>
      <c r="D19" s="42" t="s">
        <v>233</v>
      </c>
      <c r="E19" s="71" t="s">
        <v>373</v>
      </c>
      <c r="F19" s="71">
        <v>16</v>
      </c>
      <c r="G19" s="104" t="s">
        <v>426</v>
      </c>
      <c r="H19" s="156" t="s">
        <v>426</v>
      </c>
      <c r="I19" s="157" t="s">
        <v>426</v>
      </c>
      <c r="J19" s="63" t="s">
        <v>426</v>
      </c>
      <c r="K19" s="63">
        <v>67.315106</v>
      </c>
      <c r="L19" s="63">
        <v>64.43799800000001</v>
      </c>
      <c r="M19" s="63">
        <v>65.40863999999999</v>
      </c>
      <c r="N19" s="63">
        <v>65.96644599999999</v>
      </c>
      <c r="O19" s="63">
        <v>62.629873999999994</v>
      </c>
      <c r="P19" s="86"/>
      <c r="Q19" s="103" t="s">
        <v>426</v>
      </c>
      <c r="R19" s="103" t="s">
        <v>426</v>
      </c>
      <c r="S19" s="103" t="s">
        <v>426</v>
      </c>
      <c r="T19" s="103" t="s">
        <v>426</v>
      </c>
      <c r="U19" s="103" t="s">
        <v>426</v>
      </c>
      <c r="V19" s="86"/>
      <c r="W19" s="158" t="s">
        <v>426</v>
      </c>
      <c r="X19" s="158" t="s">
        <v>426</v>
      </c>
      <c r="Y19" s="158" t="s">
        <v>426</v>
      </c>
      <c r="Z19" s="158" t="s">
        <v>426</v>
      </c>
      <c r="AA19" s="158" t="s">
        <v>426</v>
      </c>
      <c r="AB19" s="159"/>
      <c r="AC19" s="158" t="s">
        <v>426</v>
      </c>
      <c r="AD19" s="158" t="s">
        <v>426</v>
      </c>
      <c r="AE19" s="158" t="s">
        <v>426</v>
      </c>
      <c r="AF19" s="158" t="s">
        <v>426</v>
      </c>
      <c r="AG19" s="158" t="s">
        <v>426</v>
      </c>
      <c r="AH19" s="9"/>
      <c r="AI19" s="63" t="s">
        <v>426</v>
      </c>
      <c r="AJ19" s="63" t="s">
        <v>426</v>
      </c>
      <c r="AK19" s="63" t="s">
        <v>426</v>
      </c>
      <c r="AL19" s="63" t="s">
        <v>426</v>
      </c>
      <c r="AM19" s="63" t="s">
        <v>426</v>
      </c>
      <c r="AN19" s="9"/>
      <c r="AO19" s="50">
        <v>71.21852</v>
      </c>
      <c r="AP19" s="50">
        <v>62.00454</v>
      </c>
      <c r="AQ19" s="50">
        <v>81.58579</v>
      </c>
      <c r="AR19" s="50">
        <v>46.45995</v>
      </c>
      <c r="AS19" s="50">
        <v>75.30673</v>
      </c>
      <c r="AU19" s="50">
        <v>67.31688</v>
      </c>
      <c r="AV19" s="50">
        <v>55.50433</v>
      </c>
      <c r="AW19" s="50">
        <v>80.37729</v>
      </c>
      <c r="AX19" s="50">
        <v>44.76525</v>
      </c>
      <c r="AY19" s="50">
        <v>74.22624</v>
      </c>
      <c r="BA19" s="50">
        <v>68.08018</v>
      </c>
      <c r="BB19" s="50">
        <v>56.77484</v>
      </c>
      <c r="BC19" s="50">
        <v>80.01884</v>
      </c>
      <c r="BD19" s="50">
        <v>43.05462</v>
      </c>
      <c r="BE19" s="50">
        <v>79.11472</v>
      </c>
      <c r="BG19" s="50">
        <v>67.90399</v>
      </c>
      <c r="BH19" s="50">
        <v>61.0529</v>
      </c>
      <c r="BI19" s="50">
        <v>84.78322</v>
      </c>
      <c r="BJ19" s="50">
        <v>44.35566</v>
      </c>
      <c r="BK19" s="50">
        <v>71.73646</v>
      </c>
      <c r="BM19" s="50">
        <v>66.09625</v>
      </c>
      <c r="BN19" s="50">
        <v>59.80627</v>
      </c>
      <c r="BO19" s="50">
        <v>81.01037</v>
      </c>
      <c r="BP19" s="50">
        <v>39.14355</v>
      </c>
      <c r="BQ19" s="50">
        <v>67.09293</v>
      </c>
    </row>
    <row r="20" spans="1:69" ht="12.75">
      <c r="A20" s="2">
        <f>VLOOKUP(E20,'SHA cluster table data'!B18:C187,2,FALSE)</f>
        <v>15</v>
      </c>
      <c r="B20" s="2">
        <v>17</v>
      </c>
      <c r="C20" s="42" t="str">
        <f>VLOOKUP(E20,'SHA cluster table data'!$B$4:$G$171,6,FALSE)</f>
        <v>Q39</v>
      </c>
      <c r="D20" s="42" t="s">
        <v>432</v>
      </c>
      <c r="E20" s="71" t="s">
        <v>337</v>
      </c>
      <c r="F20" s="71">
        <v>17</v>
      </c>
      <c r="G20" s="104">
        <v>64.7809715641878</v>
      </c>
      <c r="H20" s="154">
        <f t="shared" si="0"/>
        <v>64.52222136317468</v>
      </c>
      <c r="I20" s="155">
        <f t="shared" si="1"/>
        <v>67.19393698539014</v>
      </c>
      <c r="J20" s="63">
        <v>61.800351886021474</v>
      </c>
      <c r="K20" s="63">
        <v>64.79782200000001</v>
      </c>
      <c r="L20" s="63">
        <v>65.496802</v>
      </c>
      <c r="M20" s="63">
        <v>65.72069000000002</v>
      </c>
      <c r="N20" s="63">
        <v>67.21348800000001</v>
      </c>
      <c r="O20" s="63">
        <v>69.713906</v>
      </c>
      <c r="P20" s="86"/>
      <c r="Q20" s="103">
        <v>70.8022871029215</v>
      </c>
      <c r="R20" s="103">
        <v>55.7905382889155</v>
      </c>
      <c r="S20" s="103">
        <v>84.135705046535</v>
      </c>
      <c r="T20" s="103">
        <v>40.4785942122817</v>
      </c>
      <c r="U20" s="103">
        <v>72.6977331702855</v>
      </c>
      <c r="V20" s="86"/>
      <c r="W20" s="158">
        <v>68.3998090331547</v>
      </c>
      <c r="X20" s="158">
        <v>55.3535350150793</v>
      </c>
      <c r="Y20" s="158">
        <v>80.6478717640044</v>
      </c>
      <c r="Z20" s="158">
        <v>43.9301882308611</v>
      </c>
      <c r="AA20" s="158">
        <v>74.2797027727739</v>
      </c>
      <c r="AB20" s="159"/>
      <c r="AC20" s="158">
        <v>71.6976478836844</v>
      </c>
      <c r="AD20" s="158">
        <v>58.010099114368</v>
      </c>
      <c r="AE20" s="158">
        <v>82.8572801387704</v>
      </c>
      <c r="AF20" s="158">
        <v>45.8647145194793</v>
      </c>
      <c r="AG20" s="158">
        <v>77.5399432706485</v>
      </c>
      <c r="AH20" s="9"/>
      <c r="AI20" s="63">
        <v>66.3953417117529</v>
      </c>
      <c r="AJ20" s="63">
        <v>55.8214230877414</v>
      </c>
      <c r="AK20" s="63">
        <v>79.5374300346845</v>
      </c>
      <c r="AL20" s="63">
        <v>38.3527325316186</v>
      </c>
      <c r="AM20" s="63">
        <v>68.89483206431</v>
      </c>
      <c r="AN20" s="9"/>
      <c r="AO20" s="50">
        <v>73.34799</v>
      </c>
      <c r="AP20" s="50">
        <v>56.79798</v>
      </c>
      <c r="AQ20" s="50">
        <v>81.00158</v>
      </c>
      <c r="AR20" s="50">
        <v>38.83518</v>
      </c>
      <c r="AS20" s="50">
        <v>74.00638</v>
      </c>
      <c r="AU20" s="50">
        <v>69.59026</v>
      </c>
      <c r="AV20" s="50">
        <v>64.52362</v>
      </c>
      <c r="AW20" s="50">
        <v>81.87454</v>
      </c>
      <c r="AX20" s="50">
        <v>40.09299</v>
      </c>
      <c r="AY20" s="50">
        <v>71.4026</v>
      </c>
      <c r="BA20" s="50">
        <v>68.84529</v>
      </c>
      <c r="BB20" s="50">
        <v>59.57401</v>
      </c>
      <c r="BC20" s="50">
        <v>81.12808</v>
      </c>
      <c r="BD20" s="50">
        <v>47.71129</v>
      </c>
      <c r="BE20" s="50">
        <v>71.34478</v>
      </c>
      <c r="BG20" s="50">
        <v>71.51827</v>
      </c>
      <c r="BH20" s="50">
        <v>60.27766</v>
      </c>
      <c r="BI20" s="50">
        <v>81.245</v>
      </c>
      <c r="BJ20" s="50">
        <v>47.66817</v>
      </c>
      <c r="BK20" s="50">
        <v>75.35834</v>
      </c>
      <c r="BM20" s="50">
        <v>73.11801</v>
      </c>
      <c r="BN20" s="50">
        <v>64.76698</v>
      </c>
      <c r="BO20" s="50">
        <v>83.03637</v>
      </c>
      <c r="BP20" s="50">
        <v>49.81821</v>
      </c>
      <c r="BQ20" s="50">
        <v>77.82996</v>
      </c>
    </row>
    <row r="21" spans="1:69" ht="12.75">
      <c r="A21" s="2">
        <f>VLOOKUP(E21,'SHA cluster table data'!B19:C188,2,FALSE)</f>
        <v>16</v>
      </c>
      <c r="B21" s="2">
        <v>18</v>
      </c>
      <c r="C21" s="42" t="str">
        <f>VLOOKUP(E21,'SHA cluster table data'!$B$4:$G$171,6,FALSE)</f>
        <v>Q34</v>
      </c>
      <c r="D21" s="42" t="s">
        <v>5</v>
      </c>
      <c r="E21" s="71" t="s">
        <v>360</v>
      </c>
      <c r="F21" s="71">
        <v>18</v>
      </c>
      <c r="G21" s="104">
        <v>65.6504665558486</v>
      </c>
      <c r="H21" s="154">
        <f t="shared" si="0"/>
        <v>68.13700262987524</v>
      </c>
      <c r="I21" s="155">
        <f t="shared" si="1"/>
        <v>70.13967477522547</v>
      </c>
      <c r="J21" s="63">
        <v>68.33555401796022</v>
      </c>
      <c r="K21" s="63">
        <v>69.665904</v>
      </c>
      <c r="L21" s="63">
        <v>70.62127</v>
      </c>
      <c r="M21" s="63">
        <v>67.904036</v>
      </c>
      <c r="N21" s="63">
        <v>73.77987399999999</v>
      </c>
      <c r="O21" s="63">
        <v>70.16611599999999</v>
      </c>
      <c r="P21" s="86"/>
      <c r="Q21" s="103">
        <v>71.7571895885538</v>
      </c>
      <c r="R21" s="103">
        <v>55.3432039303305</v>
      </c>
      <c r="S21" s="103">
        <v>84.1757139976424</v>
      </c>
      <c r="T21" s="103">
        <v>39.4584114568717</v>
      </c>
      <c r="U21" s="103">
        <v>77.5178138058448</v>
      </c>
      <c r="V21" s="86"/>
      <c r="W21" s="158">
        <v>71.9602678546518</v>
      </c>
      <c r="X21" s="158">
        <v>59.529272103576</v>
      </c>
      <c r="Y21" s="158">
        <v>81.1570195446894</v>
      </c>
      <c r="Z21" s="158">
        <v>47.751981300805</v>
      </c>
      <c r="AA21" s="158">
        <v>80.286472345654</v>
      </c>
      <c r="AB21" s="159"/>
      <c r="AC21" s="158">
        <v>72.8029157583808</v>
      </c>
      <c r="AD21" s="158">
        <v>63.2757699614916</v>
      </c>
      <c r="AE21" s="158">
        <v>81.1753205973766</v>
      </c>
      <c r="AF21" s="158">
        <v>52.2363282237741</v>
      </c>
      <c r="AG21" s="158">
        <v>81.2080393351043</v>
      </c>
      <c r="AH21" s="9"/>
      <c r="AI21" s="63">
        <v>70.0970441746886</v>
      </c>
      <c r="AJ21" s="63">
        <v>62.3372705164944</v>
      </c>
      <c r="AK21" s="63">
        <v>80.1293064486711</v>
      </c>
      <c r="AL21" s="63">
        <v>49.5502438819698</v>
      </c>
      <c r="AM21" s="63">
        <v>79.5639050679772</v>
      </c>
      <c r="AN21" s="9"/>
      <c r="AO21" s="50">
        <v>73.27422</v>
      </c>
      <c r="AP21" s="50">
        <v>60.20309</v>
      </c>
      <c r="AQ21" s="50">
        <v>81.0602</v>
      </c>
      <c r="AR21" s="50">
        <v>51.51771</v>
      </c>
      <c r="AS21" s="50">
        <v>82.2743</v>
      </c>
      <c r="AU21" s="50">
        <v>72.44955</v>
      </c>
      <c r="AV21" s="50">
        <v>62.80106</v>
      </c>
      <c r="AW21" s="50">
        <v>80.66494</v>
      </c>
      <c r="AX21" s="50">
        <v>52.00039</v>
      </c>
      <c r="AY21" s="50">
        <v>85.19041</v>
      </c>
      <c r="BA21" s="50">
        <v>69.89056</v>
      </c>
      <c r="BB21" s="50">
        <v>65.20251</v>
      </c>
      <c r="BC21" s="50">
        <v>82.05042</v>
      </c>
      <c r="BD21" s="50">
        <v>42.24919</v>
      </c>
      <c r="BE21" s="50">
        <v>80.1275</v>
      </c>
      <c r="BG21" s="50">
        <v>75.0094</v>
      </c>
      <c r="BH21" s="50">
        <v>67.75385</v>
      </c>
      <c r="BI21" s="50">
        <v>84.5111</v>
      </c>
      <c r="BJ21" s="50">
        <v>55.77921</v>
      </c>
      <c r="BK21" s="50">
        <v>85.84581</v>
      </c>
      <c r="BM21" s="50">
        <v>73.28455</v>
      </c>
      <c r="BN21" s="50">
        <v>61.98006</v>
      </c>
      <c r="BO21" s="50">
        <v>82.39365</v>
      </c>
      <c r="BP21" s="50">
        <v>50.78601</v>
      </c>
      <c r="BQ21" s="50">
        <v>82.38631</v>
      </c>
    </row>
    <row r="22" spans="1:69" ht="12.75">
      <c r="A22" s="2">
        <f>VLOOKUP(E22,'SHA cluster table data'!B20:C189,2,FALSE)</f>
        <v>17</v>
      </c>
      <c r="B22" s="2">
        <v>19</v>
      </c>
      <c r="C22" s="42" t="str">
        <f>VLOOKUP(E22,'SHA cluster table data'!$B$4:$G$171,6,FALSE)</f>
        <v>Q31</v>
      </c>
      <c r="D22" s="42" t="s">
        <v>55</v>
      </c>
      <c r="E22" s="71" t="s">
        <v>78</v>
      </c>
      <c r="F22" s="71">
        <v>19</v>
      </c>
      <c r="G22" s="104">
        <v>69.7294111655363</v>
      </c>
      <c r="H22" s="154">
        <f t="shared" si="0"/>
        <v>66.75039352188324</v>
      </c>
      <c r="I22" s="155">
        <f t="shared" si="1"/>
        <v>65.9378938231524</v>
      </c>
      <c r="J22" s="63">
        <v>65.97232843412512</v>
      </c>
      <c r="K22" s="63">
        <v>65.99406</v>
      </c>
      <c r="L22" s="63">
        <v>66.03046400000001</v>
      </c>
      <c r="M22" s="63">
        <v>68.34729</v>
      </c>
      <c r="N22" s="63">
        <v>70.542554</v>
      </c>
      <c r="O22" s="63">
        <v>70.701492</v>
      </c>
      <c r="P22" s="86"/>
      <c r="Q22" s="103">
        <v>73.5031935090863</v>
      </c>
      <c r="R22" s="103">
        <v>60.4645194294546</v>
      </c>
      <c r="S22" s="103">
        <v>83.9019050614124</v>
      </c>
      <c r="T22" s="103">
        <v>50.827655961128</v>
      </c>
      <c r="U22" s="103">
        <v>79.9497818666001</v>
      </c>
      <c r="V22" s="86"/>
      <c r="W22" s="158">
        <v>70.4276268256114</v>
      </c>
      <c r="X22" s="158">
        <v>58.5252799744935</v>
      </c>
      <c r="Y22" s="158">
        <v>80.0633333593231</v>
      </c>
      <c r="Z22" s="158">
        <v>46.0368156438902</v>
      </c>
      <c r="AA22" s="158">
        <v>78.698911806098</v>
      </c>
      <c r="AB22" s="159"/>
      <c r="AC22" s="158">
        <v>70.172164350276</v>
      </c>
      <c r="AD22" s="158">
        <v>57.4188435478566</v>
      </c>
      <c r="AE22" s="158">
        <v>80.7285087905943</v>
      </c>
      <c r="AF22" s="158">
        <v>46.0148494313325</v>
      </c>
      <c r="AG22" s="158">
        <v>75.3551029957026</v>
      </c>
      <c r="AH22" s="9"/>
      <c r="AI22" s="63">
        <v>69.3875210279183</v>
      </c>
      <c r="AJ22" s="63">
        <v>57.6004834343053</v>
      </c>
      <c r="AK22" s="63">
        <v>81.7440400181828</v>
      </c>
      <c r="AL22" s="63">
        <v>46.8283359101002</v>
      </c>
      <c r="AM22" s="63">
        <v>74.301261780119</v>
      </c>
      <c r="AN22" s="9"/>
      <c r="AO22" s="50">
        <v>72.41833</v>
      </c>
      <c r="AP22" s="50">
        <v>58.13311</v>
      </c>
      <c r="AQ22" s="50">
        <v>77.67281</v>
      </c>
      <c r="AR22" s="50">
        <v>47.23514</v>
      </c>
      <c r="AS22" s="50">
        <v>74.51091</v>
      </c>
      <c r="AU22" s="50">
        <v>69.18958</v>
      </c>
      <c r="AV22" s="50">
        <v>62.3686</v>
      </c>
      <c r="AW22" s="50">
        <v>79.86411</v>
      </c>
      <c r="AX22" s="50">
        <v>44.61209</v>
      </c>
      <c r="AY22" s="50">
        <v>74.11794</v>
      </c>
      <c r="BA22" s="50">
        <v>73.00651</v>
      </c>
      <c r="BB22" s="50">
        <v>63.27371</v>
      </c>
      <c r="BC22" s="50">
        <v>82.97697</v>
      </c>
      <c r="BD22" s="50">
        <v>45.38543</v>
      </c>
      <c r="BE22" s="50">
        <v>77.09383</v>
      </c>
      <c r="BG22" s="50">
        <v>73.49076</v>
      </c>
      <c r="BH22" s="50">
        <v>65.85235</v>
      </c>
      <c r="BI22" s="50">
        <v>85.58553</v>
      </c>
      <c r="BJ22" s="50">
        <v>49.74517</v>
      </c>
      <c r="BK22" s="50">
        <v>78.03896</v>
      </c>
      <c r="BM22" s="50">
        <v>69.52322</v>
      </c>
      <c r="BN22" s="50">
        <v>66.49236</v>
      </c>
      <c r="BO22" s="50">
        <v>83.9983</v>
      </c>
      <c r="BP22" s="50">
        <v>50.64366</v>
      </c>
      <c r="BQ22" s="50">
        <v>82.84992</v>
      </c>
    </row>
    <row r="23" spans="1:69" ht="12.75">
      <c r="A23" s="2">
        <f>VLOOKUP(E23,'SHA cluster table data'!B21:C190,2,FALSE)</f>
        <v>18</v>
      </c>
      <c r="B23" s="1">
        <v>20</v>
      </c>
      <c r="C23" s="42" t="str">
        <f>VLOOKUP(E23,'SHA cluster table data'!$B$4:$G$171,6,FALSE)</f>
        <v>Q34</v>
      </c>
      <c r="D23" s="42" t="s">
        <v>247</v>
      </c>
      <c r="E23" s="71" t="s">
        <v>404</v>
      </c>
      <c r="F23" s="71">
        <v>20</v>
      </c>
      <c r="G23" s="104">
        <v>70.4746291761097</v>
      </c>
      <c r="H23" s="154">
        <f t="shared" si="0"/>
        <v>70.75625043825244</v>
      </c>
      <c r="I23" s="155">
        <f t="shared" si="1"/>
        <v>68.50459169310447</v>
      </c>
      <c r="J23" s="63">
        <v>68.40459764101813</v>
      </c>
      <c r="K23" s="63">
        <v>66.595116</v>
      </c>
      <c r="L23" s="63">
        <v>66.53293</v>
      </c>
      <c r="M23" s="63">
        <v>70.30576</v>
      </c>
      <c r="N23" s="63">
        <v>68.65394599999999</v>
      </c>
      <c r="O23" s="63">
        <v>65.639702</v>
      </c>
      <c r="P23" s="86"/>
      <c r="Q23" s="103">
        <v>74.9980953210691</v>
      </c>
      <c r="R23" s="103">
        <v>61.8652920152988</v>
      </c>
      <c r="S23" s="103">
        <v>85.9653372118054</v>
      </c>
      <c r="T23" s="103">
        <v>50.0179343564389</v>
      </c>
      <c r="U23" s="103">
        <v>79.5264869759365</v>
      </c>
      <c r="V23" s="86"/>
      <c r="W23" s="158">
        <v>75.2709470797578</v>
      </c>
      <c r="X23" s="158">
        <v>60.7636525750917</v>
      </c>
      <c r="Y23" s="158">
        <v>83.9737432384313</v>
      </c>
      <c r="Z23" s="158">
        <v>54.2557061055441</v>
      </c>
      <c r="AA23" s="158">
        <v>79.5172031924373</v>
      </c>
      <c r="AB23" s="159"/>
      <c r="AC23" s="158">
        <v>75.4233714362559</v>
      </c>
      <c r="AD23" s="158">
        <v>61.5189679680802</v>
      </c>
      <c r="AE23" s="158">
        <v>83.8788775333391</v>
      </c>
      <c r="AF23" s="158">
        <v>45.947112337523</v>
      </c>
      <c r="AG23" s="158">
        <v>75.7546291903242</v>
      </c>
      <c r="AH23" s="9"/>
      <c r="AI23" s="63">
        <v>72.2666364922197</v>
      </c>
      <c r="AJ23" s="63">
        <v>61.1261194752596</v>
      </c>
      <c r="AK23" s="63">
        <v>83.9304362993755</v>
      </c>
      <c r="AL23" s="63">
        <v>45.9435888600587</v>
      </c>
      <c r="AM23" s="63">
        <v>78.7562070781772</v>
      </c>
      <c r="AN23" s="9"/>
      <c r="AO23" s="50">
        <v>73.83772</v>
      </c>
      <c r="AP23" s="50">
        <v>60.53941</v>
      </c>
      <c r="AQ23" s="50">
        <v>84.13426</v>
      </c>
      <c r="AR23" s="50">
        <v>41.39289</v>
      </c>
      <c r="AS23" s="50">
        <v>73.0713</v>
      </c>
      <c r="AU23" s="50">
        <v>74.08572</v>
      </c>
      <c r="AV23" s="50">
        <v>58.42557</v>
      </c>
      <c r="AW23" s="50">
        <v>82.49607</v>
      </c>
      <c r="AX23" s="50">
        <v>43.65824</v>
      </c>
      <c r="AY23" s="50">
        <v>73.99905</v>
      </c>
      <c r="BA23" s="50">
        <v>76.90604</v>
      </c>
      <c r="BB23" s="50">
        <v>63.95951</v>
      </c>
      <c r="BC23" s="50">
        <v>82.76067</v>
      </c>
      <c r="BD23" s="50">
        <v>48.88079</v>
      </c>
      <c r="BE23" s="50">
        <v>79.02179</v>
      </c>
      <c r="BG23" s="50">
        <v>74.05495</v>
      </c>
      <c r="BH23" s="50">
        <v>57.1889</v>
      </c>
      <c r="BI23" s="50">
        <v>80.85667</v>
      </c>
      <c r="BJ23" s="50">
        <v>51.24593</v>
      </c>
      <c r="BK23" s="50">
        <v>79.92328</v>
      </c>
      <c r="BM23" s="50">
        <v>71.09134</v>
      </c>
      <c r="BN23" s="50">
        <v>60.97987</v>
      </c>
      <c r="BO23" s="50">
        <v>78.90413</v>
      </c>
      <c r="BP23" s="50">
        <v>42.15178</v>
      </c>
      <c r="BQ23" s="50">
        <v>75.07139</v>
      </c>
    </row>
    <row r="24" spans="1:71" ht="12.75">
      <c r="A24" s="2">
        <f>VLOOKUP(E24,'SHA cluster table data'!B22:C191,2,FALSE)</f>
        <v>19</v>
      </c>
      <c r="B24" s="2">
        <v>21</v>
      </c>
      <c r="C24" s="42" t="str">
        <f>VLOOKUP(E24,'SHA cluster table data'!$B$4:$G$171,6,FALSE)</f>
        <v>Q31</v>
      </c>
      <c r="D24" s="213" t="s">
        <v>153</v>
      </c>
      <c r="E24" s="71" t="s">
        <v>80</v>
      </c>
      <c r="F24" s="71">
        <v>21</v>
      </c>
      <c r="G24" s="104">
        <v>67.1383415218861</v>
      </c>
      <c r="H24" s="154">
        <f t="shared" si="0"/>
        <v>66.43542975396414</v>
      </c>
      <c r="I24" s="155">
        <f t="shared" si="1"/>
        <v>67.73470382996723</v>
      </c>
      <c r="J24" s="63">
        <v>64.12229243110916</v>
      </c>
      <c r="K24" s="63">
        <v>68.409372</v>
      </c>
      <c r="L24" s="63">
        <v>66.047414</v>
      </c>
      <c r="M24" s="63">
        <v>65.96238</v>
      </c>
      <c r="N24" s="63">
        <v>69.41964399999999</v>
      </c>
      <c r="O24" s="63">
        <v>70.28593800000002</v>
      </c>
      <c r="P24" s="86"/>
      <c r="Q24" s="103">
        <v>70.6505413177271</v>
      </c>
      <c r="R24" s="103">
        <v>55.7241025101007</v>
      </c>
      <c r="S24" s="103">
        <v>82.446212153954</v>
      </c>
      <c r="T24" s="103">
        <v>48.1708487524238</v>
      </c>
      <c r="U24" s="103">
        <v>78.7000028752247</v>
      </c>
      <c r="V24" s="86"/>
      <c r="W24" s="158">
        <v>69.4253260906303</v>
      </c>
      <c r="X24" s="158">
        <v>58.398107307019</v>
      </c>
      <c r="Y24" s="158">
        <v>83.5679584061036</v>
      </c>
      <c r="Z24" s="158">
        <v>44.9196534904856</v>
      </c>
      <c r="AA24" s="158">
        <v>75.8661034755822</v>
      </c>
      <c r="AB24" s="159"/>
      <c r="AC24" s="158">
        <v>71.2756761352441</v>
      </c>
      <c r="AD24" s="158">
        <v>62.3660798217622</v>
      </c>
      <c r="AE24" s="158">
        <v>77.7155923358714</v>
      </c>
      <c r="AF24" s="158">
        <v>51.8673920291843</v>
      </c>
      <c r="AG24" s="158">
        <v>75.4487788277741</v>
      </c>
      <c r="AH24" s="9"/>
      <c r="AI24" s="63">
        <v>67.0828719158259</v>
      </c>
      <c r="AJ24" s="63">
        <v>60.3421664629272</v>
      </c>
      <c r="AK24" s="63">
        <v>80.891906491906</v>
      </c>
      <c r="AL24" s="63">
        <v>39.7171143267029</v>
      </c>
      <c r="AM24" s="63">
        <v>72.5774029581838</v>
      </c>
      <c r="AN24" s="9"/>
      <c r="AO24" s="50">
        <v>71.29825</v>
      </c>
      <c r="AP24" s="50">
        <v>63.31286</v>
      </c>
      <c r="AQ24" s="50">
        <v>78.55428</v>
      </c>
      <c r="AR24" s="50">
        <v>47.68353</v>
      </c>
      <c r="AS24" s="50">
        <v>81.19794</v>
      </c>
      <c r="AU24" s="50">
        <v>72.64059</v>
      </c>
      <c r="AV24" s="50">
        <v>58.24183</v>
      </c>
      <c r="AW24" s="50">
        <v>80.74622</v>
      </c>
      <c r="AX24" s="50">
        <v>43.91778</v>
      </c>
      <c r="AY24" s="50">
        <v>74.69065</v>
      </c>
      <c r="BA24" s="50">
        <v>70.67275</v>
      </c>
      <c r="BB24" s="50">
        <v>58.5819</v>
      </c>
      <c r="BC24" s="50">
        <v>81.50722</v>
      </c>
      <c r="BD24" s="50">
        <v>43.76168</v>
      </c>
      <c r="BE24" s="50">
        <v>75.28835</v>
      </c>
      <c r="BG24" s="50">
        <v>73.48602</v>
      </c>
      <c r="BH24" s="50">
        <v>63.57053</v>
      </c>
      <c r="BI24" s="50">
        <v>84.3515</v>
      </c>
      <c r="BJ24" s="50">
        <v>47.42087</v>
      </c>
      <c r="BK24" s="50">
        <v>78.2693</v>
      </c>
      <c r="BM24" s="50">
        <v>75.40296</v>
      </c>
      <c r="BN24" s="50">
        <v>62.60509</v>
      </c>
      <c r="BO24" s="50">
        <v>80.27448</v>
      </c>
      <c r="BP24" s="50">
        <v>54.29122</v>
      </c>
      <c r="BQ24" s="50">
        <v>78.85594</v>
      </c>
      <c r="BS24" s="185" t="s">
        <v>497</v>
      </c>
    </row>
    <row r="25" spans="1:69" ht="12.75">
      <c r="A25" s="2">
        <f>VLOOKUP(E25,'SHA cluster table data'!B23:C192,2,FALSE)</f>
        <v>20</v>
      </c>
      <c r="B25" s="2">
        <v>22</v>
      </c>
      <c r="C25" s="42" t="str">
        <f>VLOOKUP(E25,'SHA cluster table data'!$B$4:$G$171,6,FALSE)</f>
        <v>Q36</v>
      </c>
      <c r="D25" s="42" t="s">
        <v>57</v>
      </c>
      <c r="E25" s="71" t="s">
        <v>81</v>
      </c>
      <c r="F25" s="71">
        <v>22</v>
      </c>
      <c r="G25" s="104">
        <v>66.0723723368457</v>
      </c>
      <c r="H25" s="154">
        <f t="shared" si="0"/>
        <v>63.67792552810338</v>
      </c>
      <c r="I25" s="155">
        <f t="shared" si="1"/>
        <v>64.70018972568673</v>
      </c>
      <c r="J25" s="63">
        <v>66.0603675484102</v>
      </c>
      <c r="K25" s="63">
        <v>63.867736</v>
      </c>
      <c r="L25" s="63">
        <v>69.67773</v>
      </c>
      <c r="M25" s="63">
        <v>66.73697999999999</v>
      </c>
      <c r="N25" s="63">
        <v>67.363954</v>
      </c>
      <c r="O25" s="63">
        <v>63.265409999999996</v>
      </c>
      <c r="P25" s="86"/>
      <c r="Q25" s="103">
        <v>72.3629668083579</v>
      </c>
      <c r="R25" s="103">
        <v>51.4014867791183</v>
      </c>
      <c r="S25" s="103">
        <v>84.9477418618011</v>
      </c>
      <c r="T25" s="103">
        <v>47.1634031044166</v>
      </c>
      <c r="U25" s="103">
        <v>74.4862631305348</v>
      </c>
      <c r="V25" s="86"/>
      <c r="W25" s="158">
        <v>66.4075296169847</v>
      </c>
      <c r="X25" s="158">
        <v>52.5728586669007</v>
      </c>
      <c r="Y25" s="158">
        <v>82.8519645527425</v>
      </c>
      <c r="Z25" s="158">
        <v>44.3511279978454</v>
      </c>
      <c r="AA25" s="158">
        <v>72.2061468060436</v>
      </c>
      <c r="AB25" s="159"/>
      <c r="AC25" s="158">
        <v>68.3749798933986</v>
      </c>
      <c r="AD25" s="158">
        <v>49.8313610185579</v>
      </c>
      <c r="AE25" s="158">
        <v>81.5808669886572</v>
      </c>
      <c r="AF25" s="158">
        <v>48.9838417476764</v>
      </c>
      <c r="AG25" s="158">
        <v>74.7298989801435</v>
      </c>
      <c r="AH25" s="9"/>
      <c r="AI25" s="63">
        <v>74.0450276080356</v>
      </c>
      <c r="AJ25" s="63">
        <v>56.1906211406443</v>
      </c>
      <c r="AK25" s="63">
        <v>82.1198020534821</v>
      </c>
      <c r="AL25" s="63">
        <v>46.1436510666056</v>
      </c>
      <c r="AM25" s="63">
        <v>71.8027358732834</v>
      </c>
      <c r="AN25" s="9"/>
      <c r="AO25" s="50">
        <v>70.13158</v>
      </c>
      <c r="AP25" s="50">
        <v>52.43648</v>
      </c>
      <c r="AQ25" s="50">
        <v>79.67635</v>
      </c>
      <c r="AR25" s="50">
        <v>46.39044</v>
      </c>
      <c r="AS25" s="50">
        <v>70.70383</v>
      </c>
      <c r="AU25" s="50">
        <v>72.13859</v>
      </c>
      <c r="AV25" s="50">
        <v>62.32</v>
      </c>
      <c r="AW25" s="50">
        <v>84.55794</v>
      </c>
      <c r="AX25" s="50">
        <v>54.29074</v>
      </c>
      <c r="AY25" s="50">
        <v>75.08138</v>
      </c>
      <c r="BA25" s="50">
        <v>69.87598</v>
      </c>
      <c r="BB25" s="50">
        <v>55.39705</v>
      </c>
      <c r="BC25" s="50">
        <v>84.03535</v>
      </c>
      <c r="BD25" s="50">
        <v>51.55377</v>
      </c>
      <c r="BE25" s="50">
        <v>72.82275</v>
      </c>
      <c r="BG25" s="50">
        <v>71.87312</v>
      </c>
      <c r="BH25" s="50">
        <v>57.95451</v>
      </c>
      <c r="BI25" s="50">
        <v>86.93479</v>
      </c>
      <c r="BJ25" s="50">
        <v>48.86999</v>
      </c>
      <c r="BK25" s="50">
        <v>71.18736</v>
      </c>
      <c r="BM25" s="50">
        <v>65.16395</v>
      </c>
      <c r="BN25" s="50">
        <v>54.64215</v>
      </c>
      <c r="BO25" s="50">
        <v>79.50808</v>
      </c>
      <c r="BP25" s="50">
        <v>46.83354</v>
      </c>
      <c r="BQ25" s="50">
        <v>70.17933</v>
      </c>
    </row>
    <row r="26" spans="1:69" ht="12.75">
      <c r="A26" s="2">
        <f>VLOOKUP(E26,'SHA cluster table data'!B24:C193,2,FALSE)</f>
        <v>21</v>
      </c>
      <c r="B26" s="2">
        <v>23</v>
      </c>
      <c r="C26" s="42" t="str">
        <f>VLOOKUP(E26,'SHA cluster table data'!$B$4:$G$171,6,FALSE)</f>
        <v>Q34</v>
      </c>
      <c r="D26" s="42" t="s">
        <v>18</v>
      </c>
      <c r="E26" s="71" t="s">
        <v>82</v>
      </c>
      <c r="F26" s="71">
        <v>23</v>
      </c>
      <c r="G26" s="104">
        <v>66.5971394778115</v>
      </c>
      <c r="H26" s="154">
        <f t="shared" si="0"/>
        <v>63.46932028299356</v>
      </c>
      <c r="I26" s="155">
        <f t="shared" si="1"/>
        <v>66.39397954744022</v>
      </c>
      <c r="J26" s="63">
        <v>70.40230112036906</v>
      </c>
      <c r="K26" s="63">
        <v>67.243154</v>
      </c>
      <c r="L26" s="63">
        <v>67.49329</v>
      </c>
      <c r="M26" s="63">
        <v>69.040512</v>
      </c>
      <c r="N26" s="65" t="s">
        <v>426</v>
      </c>
      <c r="O26" s="63">
        <v>70.387528</v>
      </c>
      <c r="P26" s="86"/>
      <c r="Q26" s="103">
        <v>72.2380932059873</v>
      </c>
      <c r="R26" s="103">
        <v>58.3658693048049</v>
      </c>
      <c r="S26" s="103">
        <v>83.1774646952013</v>
      </c>
      <c r="T26" s="103">
        <v>47.1266570796445</v>
      </c>
      <c r="U26" s="103">
        <v>72.0776131034193</v>
      </c>
      <c r="V26" s="86"/>
      <c r="W26" s="158">
        <v>67.6208288673759</v>
      </c>
      <c r="X26" s="158">
        <v>53.0705627686653</v>
      </c>
      <c r="Y26" s="158">
        <v>83.0345848064424</v>
      </c>
      <c r="Z26" s="158">
        <v>42.650213840137</v>
      </c>
      <c r="AA26" s="158">
        <v>70.9704111323472</v>
      </c>
      <c r="AB26" s="159"/>
      <c r="AC26" s="158">
        <v>69.2684508782334</v>
      </c>
      <c r="AD26" s="158">
        <v>55.6086804230295</v>
      </c>
      <c r="AE26" s="158">
        <v>81.8613450647528</v>
      </c>
      <c r="AF26" s="158">
        <v>47.5622391612388</v>
      </c>
      <c r="AG26" s="158">
        <v>77.6691822099466</v>
      </c>
      <c r="AH26" s="9"/>
      <c r="AI26" s="63">
        <v>73.2726396447379</v>
      </c>
      <c r="AJ26" s="63">
        <v>62.0130165160563</v>
      </c>
      <c r="AK26" s="63">
        <v>85.6539463469308</v>
      </c>
      <c r="AL26" s="63">
        <v>49.6876742983282</v>
      </c>
      <c r="AM26" s="63">
        <v>81.3842287957921</v>
      </c>
      <c r="AN26" s="9"/>
      <c r="AO26" s="50">
        <v>72.71461</v>
      </c>
      <c r="AP26" s="50">
        <v>61.9952</v>
      </c>
      <c r="AQ26" s="50">
        <v>80.21482</v>
      </c>
      <c r="AR26" s="50">
        <v>46.20559</v>
      </c>
      <c r="AS26" s="50">
        <v>75.08555</v>
      </c>
      <c r="AU26" s="50">
        <v>73.64923</v>
      </c>
      <c r="AV26" s="50">
        <v>62.55308</v>
      </c>
      <c r="AW26" s="50">
        <v>82.38068</v>
      </c>
      <c r="AX26" s="50">
        <v>46.37861</v>
      </c>
      <c r="AY26" s="50">
        <v>72.50485</v>
      </c>
      <c r="BA26" s="50">
        <v>74.25292</v>
      </c>
      <c r="BB26" s="50">
        <v>60.0046</v>
      </c>
      <c r="BC26" s="50">
        <v>82.38062</v>
      </c>
      <c r="BD26" s="50">
        <v>50.71331</v>
      </c>
      <c r="BE26" s="50">
        <v>77.85111</v>
      </c>
      <c r="BG26" s="50" t="s">
        <v>426</v>
      </c>
      <c r="BH26" s="50" t="s">
        <v>426</v>
      </c>
      <c r="BI26" s="50" t="s">
        <v>426</v>
      </c>
      <c r="BJ26" s="50" t="s">
        <v>426</v>
      </c>
      <c r="BK26" s="68" t="s">
        <v>426</v>
      </c>
      <c r="BM26" s="50">
        <v>74.37275</v>
      </c>
      <c r="BN26" s="50">
        <v>65.74388</v>
      </c>
      <c r="BO26" s="50">
        <v>81.40604</v>
      </c>
      <c r="BP26" s="50">
        <v>50.81353</v>
      </c>
      <c r="BQ26" s="50">
        <v>79.60144</v>
      </c>
    </row>
    <row r="27" spans="1:69" ht="12.75">
      <c r="A27" s="2">
        <f>VLOOKUP(E27,'SHA cluster table data'!B25:C194,2,FALSE)</f>
        <v>22</v>
      </c>
      <c r="B27" s="1">
        <v>24</v>
      </c>
      <c r="C27" s="42" t="str">
        <f>VLOOKUP(E27,'SHA cluster table data'!$B$4:$G$171,6,FALSE)</f>
        <v>Q31</v>
      </c>
      <c r="D27" s="42" t="s">
        <v>58</v>
      </c>
      <c r="E27" s="71" t="s">
        <v>83</v>
      </c>
      <c r="F27" s="71">
        <v>24</v>
      </c>
      <c r="G27" s="104">
        <v>83.8547737875298</v>
      </c>
      <c r="H27" s="154">
        <f t="shared" si="0"/>
        <v>82.67773527455927</v>
      </c>
      <c r="I27" s="155">
        <f t="shared" si="1"/>
        <v>81.65584090485704</v>
      </c>
      <c r="J27" s="63">
        <v>80.86947447529317</v>
      </c>
      <c r="K27" s="63">
        <v>83.39857199999999</v>
      </c>
      <c r="L27" s="63">
        <v>81.68777200000001</v>
      </c>
      <c r="M27" s="63">
        <v>82.072796</v>
      </c>
      <c r="N27" s="63">
        <v>79.586488</v>
      </c>
      <c r="O27" s="63">
        <v>81.15266799999999</v>
      </c>
      <c r="P27" s="86"/>
      <c r="Q27" s="103">
        <v>82.4004217218132</v>
      </c>
      <c r="R27" s="103">
        <v>75.9366172884328</v>
      </c>
      <c r="S27" s="103">
        <v>91.7638391768933</v>
      </c>
      <c r="T27" s="103">
        <v>75.3872021579742</v>
      </c>
      <c r="U27" s="103">
        <v>93.7857885925354</v>
      </c>
      <c r="V27" s="86"/>
      <c r="W27" s="158">
        <v>84.5339291673219</v>
      </c>
      <c r="X27" s="158">
        <v>74.7606537277408</v>
      </c>
      <c r="Y27" s="158">
        <v>89.1566185056365</v>
      </c>
      <c r="Z27" s="158">
        <v>69.6268785985703</v>
      </c>
      <c r="AA27" s="158">
        <v>95.3105963735268</v>
      </c>
      <c r="AB27" s="159"/>
      <c r="AC27" s="158">
        <v>82.8960497721376</v>
      </c>
      <c r="AD27" s="158">
        <v>75.3264915101652</v>
      </c>
      <c r="AE27" s="158">
        <v>90.7834349553369</v>
      </c>
      <c r="AF27" s="158">
        <v>65.0643455380052</v>
      </c>
      <c r="AG27" s="158">
        <v>94.2088827486403</v>
      </c>
      <c r="AH27" s="9"/>
      <c r="AI27" s="63">
        <v>82.1998045667227</v>
      </c>
      <c r="AJ27" s="63">
        <v>74.3929396098767</v>
      </c>
      <c r="AK27" s="63">
        <v>87.1043143206622</v>
      </c>
      <c r="AL27" s="63">
        <v>69.0434147873142</v>
      </c>
      <c r="AM27" s="63">
        <v>91.6068990918901</v>
      </c>
      <c r="AN27" s="9"/>
      <c r="AO27" s="50">
        <v>83.98501</v>
      </c>
      <c r="AP27" s="50">
        <v>80.05663</v>
      </c>
      <c r="AQ27" s="50">
        <v>89.18703</v>
      </c>
      <c r="AR27" s="50">
        <v>70.79597</v>
      </c>
      <c r="AS27" s="50">
        <v>92.96822</v>
      </c>
      <c r="AU27" s="50">
        <v>83.0695</v>
      </c>
      <c r="AV27" s="50">
        <v>76.76528</v>
      </c>
      <c r="AW27" s="50">
        <v>85.92216</v>
      </c>
      <c r="AX27" s="50">
        <v>71.199</v>
      </c>
      <c r="AY27" s="50">
        <v>91.48292</v>
      </c>
      <c r="BA27" s="50">
        <v>81.86103</v>
      </c>
      <c r="BB27" s="50">
        <v>76.17137</v>
      </c>
      <c r="BC27" s="50">
        <v>88.65046</v>
      </c>
      <c r="BD27" s="50">
        <v>70.73974</v>
      </c>
      <c r="BE27" s="50">
        <v>92.94138</v>
      </c>
      <c r="BG27" s="50">
        <v>79.7645</v>
      </c>
      <c r="BH27" s="50">
        <v>72.42126</v>
      </c>
      <c r="BI27" s="50">
        <v>89.17147</v>
      </c>
      <c r="BJ27" s="50">
        <v>68.93349</v>
      </c>
      <c r="BK27" s="50">
        <v>87.64172</v>
      </c>
      <c r="BM27" s="50">
        <v>81.62671</v>
      </c>
      <c r="BN27" s="50">
        <v>77.03776</v>
      </c>
      <c r="BO27" s="50">
        <v>90.50727</v>
      </c>
      <c r="BP27" s="50">
        <v>66.09893</v>
      </c>
      <c r="BQ27" s="50">
        <v>90.49267</v>
      </c>
    </row>
    <row r="28" spans="1:69" ht="12.75">
      <c r="A28" s="2">
        <f>VLOOKUP(E28,'SHA cluster table data'!B26:C195,2,FALSE)</f>
        <v>23</v>
      </c>
      <c r="B28" s="2">
        <v>25</v>
      </c>
      <c r="C28" s="42" t="str">
        <f>VLOOKUP(E28,'SHA cluster table data'!$B$4:$G$171,6,FALSE)</f>
        <v>Q31</v>
      </c>
      <c r="D28" s="42" t="s">
        <v>19</v>
      </c>
      <c r="E28" s="71" t="s">
        <v>84</v>
      </c>
      <c r="F28" s="71">
        <v>25</v>
      </c>
      <c r="G28" s="104">
        <v>68.8692571281504</v>
      </c>
      <c r="H28" s="154">
        <f t="shared" si="0"/>
        <v>71.37936245910933</v>
      </c>
      <c r="I28" s="155">
        <f t="shared" si="1"/>
        <v>68.26519772526177</v>
      </c>
      <c r="J28" s="63">
        <v>68.31282538206725</v>
      </c>
      <c r="K28" s="63">
        <v>67.530778</v>
      </c>
      <c r="L28" s="63">
        <v>64.917924</v>
      </c>
      <c r="M28" s="63">
        <v>65.526164</v>
      </c>
      <c r="N28" s="63">
        <v>69.963858</v>
      </c>
      <c r="O28" s="63">
        <v>68.728974</v>
      </c>
      <c r="P28" s="86"/>
      <c r="Q28" s="103">
        <v>71.8350148118512</v>
      </c>
      <c r="R28" s="103">
        <v>57.9482788780767</v>
      </c>
      <c r="S28" s="103">
        <v>83.1921972774509</v>
      </c>
      <c r="T28" s="103">
        <v>52.8010036646121</v>
      </c>
      <c r="U28" s="103">
        <v>78.5697910087612</v>
      </c>
      <c r="V28" s="86"/>
      <c r="W28" s="158">
        <v>73.4500727383466</v>
      </c>
      <c r="X28" s="158">
        <v>63.878343253547</v>
      </c>
      <c r="Y28" s="158">
        <v>82.5475921077407</v>
      </c>
      <c r="Z28" s="158">
        <v>55.5854648522983</v>
      </c>
      <c r="AA28" s="158">
        <v>81.435339343614</v>
      </c>
      <c r="AB28" s="159"/>
      <c r="AC28" s="158">
        <v>73.6587610191743</v>
      </c>
      <c r="AD28" s="158">
        <v>58.2123177338829</v>
      </c>
      <c r="AE28" s="158">
        <v>79.2369864982352</v>
      </c>
      <c r="AF28" s="158">
        <v>51.9421522973779</v>
      </c>
      <c r="AG28" s="158">
        <v>78.2757710776386</v>
      </c>
      <c r="AH28" s="9"/>
      <c r="AI28" s="63">
        <v>71.2684975370617</v>
      </c>
      <c r="AJ28" s="63">
        <v>59.8613666111346</v>
      </c>
      <c r="AK28" s="63">
        <v>79.8068012684886</v>
      </c>
      <c r="AL28" s="63">
        <v>50.6380820652157</v>
      </c>
      <c r="AM28" s="63">
        <v>79.9893794284356</v>
      </c>
      <c r="AN28" s="9"/>
      <c r="AO28" s="50">
        <v>72.85394</v>
      </c>
      <c r="AP28" s="50">
        <v>57.09946</v>
      </c>
      <c r="AQ28" s="50">
        <v>79.94437</v>
      </c>
      <c r="AR28" s="50">
        <v>52.85547</v>
      </c>
      <c r="AS28" s="50">
        <v>74.90065</v>
      </c>
      <c r="AU28" s="50">
        <v>70.61407</v>
      </c>
      <c r="AV28" s="50">
        <v>55.40153</v>
      </c>
      <c r="AW28" s="50">
        <v>79.22511</v>
      </c>
      <c r="AX28" s="50">
        <v>46.90422</v>
      </c>
      <c r="AY28" s="50">
        <v>72.44469</v>
      </c>
      <c r="BA28" s="50">
        <v>67.99263</v>
      </c>
      <c r="BB28" s="50">
        <v>54.39642</v>
      </c>
      <c r="BC28" s="50">
        <v>78.16908</v>
      </c>
      <c r="BD28" s="50">
        <v>49.57115</v>
      </c>
      <c r="BE28" s="50">
        <v>77.50154</v>
      </c>
      <c r="BG28" s="50">
        <v>72.38627</v>
      </c>
      <c r="BH28" s="50">
        <v>60.22026</v>
      </c>
      <c r="BI28" s="50">
        <v>80.91267</v>
      </c>
      <c r="BJ28" s="50">
        <v>54.78619</v>
      </c>
      <c r="BK28" s="50">
        <v>81.5139</v>
      </c>
      <c r="BM28" s="50">
        <v>73.98705</v>
      </c>
      <c r="BN28" s="50">
        <v>60.5699</v>
      </c>
      <c r="BO28" s="50">
        <v>80.72466</v>
      </c>
      <c r="BP28" s="50">
        <v>50.03735</v>
      </c>
      <c r="BQ28" s="50">
        <v>78.32591</v>
      </c>
    </row>
    <row r="29" spans="1:69" ht="12.75">
      <c r="A29" s="2">
        <f>VLOOKUP(E29,'SHA cluster table data'!B27:C196,2,FALSE)</f>
        <v>24</v>
      </c>
      <c r="B29" s="2">
        <v>26</v>
      </c>
      <c r="C29" s="42" t="str">
        <f>VLOOKUP(E29,'SHA cluster table data'!$B$4:$G$171,6,FALSE)</f>
        <v>Q31</v>
      </c>
      <c r="D29" s="42" t="s">
        <v>59</v>
      </c>
      <c r="E29" s="71" t="s">
        <v>85</v>
      </c>
      <c r="F29" s="71">
        <v>26</v>
      </c>
      <c r="G29" s="104">
        <v>84.3633832094524</v>
      </c>
      <c r="H29" s="154">
        <f t="shared" si="0"/>
        <v>83.79673749404199</v>
      </c>
      <c r="I29" s="155">
        <f t="shared" si="1"/>
        <v>82.09635961864069</v>
      </c>
      <c r="J29" s="63">
        <v>81.87542753216573</v>
      </c>
      <c r="K29" s="63">
        <v>83.144378</v>
      </c>
      <c r="L29" s="63">
        <v>81.23889799999999</v>
      </c>
      <c r="M29" s="63">
        <v>83.976276</v>
      </c>
      <c r="N29" s="63">
        <v>82.01219599999999</v>
      </c>
      <c r="O29" s="63">
        <v>83.223226</v>
      </c>
      <c r="P29" s="86"/>
      <c r="Q29" s="103">
        <v>83.4014247926404</v>
      </c>
      <c r="R29" s="103">
        <v>77.3354894174761</v>
      </c>
      <c r="S29" s="103">
        <v>90.9396939826236</v>
      </c>
      <c r="T29" s="103">
        <v>74.8250692262275</v>
      </c>
      <c r="U29" s="103">
        <v>95.3152386282942</v>
      </c>
      <c r="V29" s="86"/>
      <c r="W29" s="158">
        <v>80.2975932407845</v>
      </c>
      <c r="X29" s="158">
        <v>78.2546603171526</v>
      </c>
      <c r="Y29" s="158">
        <v>90.670838561994</v>
      </c>
      <c r="Z29" s="158">
        <v>75.8002425277664</v>
      </c>
      <c r="AA29" s="158">
        <v>93.9603528225125</v>
      </c>
      <c r="AB29" s="159"/>
      <c r="AC29" s="158">
        <v>83.3423368697935</v>
      </c>
      <c r="AD29" s="158">
        <v>76.7280939455848</v>
      </c>
      <c r="AE29" s="158">
        <v>89.6351232836228</v>
      </c>
      <c r="AF29" s="158">
        <v>66.8639057087789</v>
      </c>
      <c r="AG29" s="158">
        <v>93.9123382854234</v>
      </c>
      <c r="AH29" s="9"/>
      <c r="AI29" s="63">
        <v>80.2263952070445</v>
      </c>
      <c r="AJ29" s="63">
        <v>74.155240328906</v>
      </c>
      <c r="AK29" s="63">
        <v>86.4243484079028</v>
      </c>
      <c r="AL29" s="63">
        <v>74.8586685428785</v>
      </c>
      <c r="AM29" s="63">
        <v>93.7124851740968</v>
      </c>
      <c r="AN29" s="9"/>
      <c r="AO29" s="50">
        <v>81.93011</v>
      </c>
      <c r="AP29" s="50">
        <v>75.9134</v>
      </c>
      <c r="AQ29" s="50">
        <v>89.10813</v>
      </c>
      <c r="AR29" s="50">
        <v>75.89652</v>
      </c>
      <c r="AS29" s="50">
        <v>92.87373</v>
      </c>
      <c r="AU29" s="50">
        <v>78.37368</v>
      </c>
      <c r="AV29" s="50">
        <v>76.2944</v>
      </c>
      <c r="AW29" s="50">
        <v>86.54973</v>
      </c>
      <c r="AX29" s="50">
        <v>72.62081</v>
      </c>
      <c r="AY29" s="50">
        <v>92.35587</v>
      </c>
      <c r="BA29" s="50">
        <v>81.13798</v>
      </c>
      <c r="BB29" s="50">
        <v>80.09688</v>
      </c>
      <c r="BC29" s="50">
        <v>90.31441</v>
      </c>
      <c r="BD29" s="50">
        <v>72.70688</v>
      </c>
      <c r="BE29" s="50">
        <v>95.62523</v>
      </c>
      <c r="BG29" s="50">
        <v>81.10703</v>
      </c>
      <c r="BH29" s="50">
        <v>76.84617</v>
      </c>
      <c r="BI29" s="50">
        <v>87.08274</v>
      </c>
      <c r="BJ29" s="50">
        <v>72.30703</v>
      </c>
      <c r="BK29" s="50">
        <v>92.71801</v>
      </c>
      <c r="BM29" s="50">
        <v>80.17193</v>
      </c>
      <c r="BN29" s="50">
        <v>78.38927</v>
      </c>
      <c r="BO29" s="50">
        <v>89.59679</v>
      </c>
      <c r="BP29" s="50">
        <v>74.39436</v>
      </c>
      <c r="BQ29" s="50">
        <v>93.56378</v>
      </c>
    </row>
    <row r="30" spans="1:69" ht="12.75">
      <c r="A30" s="2">
        <f>VLOOKUP(E30,'SHA cluster table data'!B28:C197,2,FALSE)</f>
        <v>25</v>
      </c>
      <c r="B30" s="2">
        <v>27</v>
      </c>
      <c r="C30" s="42" t="str">
        <f>VLOOKUP(E30,'SHA cluster table data'!$B$4:$G$171,6,FALSE)</f>
        <v>Q34</v>
      </c>
      <c r="D30" s="42" t="s">
        <v>94</v>
      </c>
      <c r="E30" s="71" t="s">
        <v>92</v>
      </c>
      <c r="F30" s="71">
        <v>27</v>
      </c>
      <c r="G30" s="104">
        <v>64.7559262089173</v>
      </c>
      <c r="H30" s="154">
        <f t="shared" si="0"/>
        <v>67.31370224404137</v>
      </c>
      <c r="I30" s="155">
        <f t="shared" si="1"/>
        <v>59.61440662931066</v>
      </c>
      <c r="J30" s="63">
        <v>60.480286878493324</v>
      </c>
      <c r="K30" s="63">
        <v>60.135363999999996</v>
      </c>
      <c r="L30" s="63">
        <v>61.080728</v>
      </c>
      <c r="M30" s="63">
        <v>65.65718999999999</v>
      </c>
      <c r="N30" s="63">
        <v>65.964026</v>
      </c>
      <c r="O30" s="63">
        <v>66.75465799999999</v>
      </c>
      <c r="P30" s="86"/>
      <c r="Q30" s="103">
        <v>73.7031998748895</v>
      </c>
      <c r="R30" s="103">
        <v>53.4453477847331</v>
      </c>
      <c r="S30" s="103">
        <v>83.7786962254463</v>
      </c>
      <c r="T30" s="103">
        <v>44.1680076845352</v>
      </c>
      <c r="U30" s="103">
        <v>68.6843794749824</v>
      </c>
      <c r="V30" s="86"/>
      <c r="W30" s="158">
        <v>71.3729172804854</v>
      </c>
      <c r="X30" s="158">
        <v>59.1208131079801</v>
      </c>
      <c r="Y30" s="158">
        <v>83.6605744684501</v>
      </c>
      <c r="Z30" s="158">
        <v>49.9827118717682</v>
      </c>
      <c r="AA30" s="158">
        <v>72.4314944915231</v>
      </c>
      <c r="AB30" s="159"/>
      <c r="AC30" s="158">
        <v>63.9256204420174</v>
      </c>
      <c r="AD30" s="158">
        <v>50.8258632326288</v>
      </c>
      <c r="AE30" s="158">
        <v>76.1846178121898</v>
      </c>
      <c r="AF30" s="158">
        <v>40.6358176850794</v>
      </c>
      <c r="AG30" s="158">
        <v>66.5001139746379</v>
      </c>
      <c r="AH30" s="9"/>
      <c r="AI30" s="63">
        <v>66.0656212032522</v>
      </c>
      <c r="AJ30" s="63">
        <v>53.2266290370023</v>
      </c>
      <c r="AK30" s="63">
        <v>78.379820517561</v>
      </c>
      <c r="AL30" s="63">
        <v>38.9907702176233</v>
      </c>
      <c r="AM30" s="63">
        <v>65.7385934170278</v>
      </c>
      <c r="AN30" s="9"/>
      <c r="AO30" s="50">
        <v>67.25031</v>
      </c>
      <c r="AP30" s="50">
        <v>52.69615</v>
      </c>
      <c r="AQ30" s="50">
        <v>77.74091</v>
      </c>
      <c r="AR30" s="50">
        <v>37.85493</v>
      </c>
      <c r="AS30" s="50">
        <v>65.13452</v>
      </c>
      <c r="AU30" s="50">
        <v>66.9136</v>
      </c>
      <c r="AV30" s="50">
        <v>53.34233</v>
      </c>
      <c r="AW30" s="50">
        <v>79.25137</v>
      </c>
      <c r="AX30" s="50">
        <v>35.83225</v>
      </c>
      <c r="AY30" s="50">
        <v>70.06409</v>
      </c>
      <c r="BA30" s="50">
        <v>66.81252</v>
      </c>
      <c r="BB30" s="50">
        <v>58.57313</v>
      </c>
      <c r="BC30" s="50">
        <v>80.37992</v>
      </c>
      <c r="BD30" s="50">
        <v>49.14492</v>
      </c>
      <c r="BE30" s="50">
        <v>73.37546</v>
      </c>
      <c r="BG30" s="50">
        <v>67.94593</v>
      </c>
      <c r="BH30" s="50">
        <v>59.88145</v>
      </c>
      <c r="BI30" s="50">
        <v>81.36503</v>
      </c>
      <c r="BJ30" s="50">
        <v>51.35807</v>
      </c>
      <c r="BK30" s="50">
        <v>69.26965</v>
      </c>
      <c r="BM30" s="50">
        <v>70.97823</v>
      </c>
      <c r="BN30" s="50">
        <v>58.7071</v>
      </c>
      <c r="BO30" s="50">
        <v>79.20702</v>
      </c>
      <c r="BP30" s="50">
        <v>48.18557</v>
      </c>
      <c r="BQ30" s="50">
        <v>76.69537</v>
      </c>
    </row>
    <row r="31" spans="1:69" ht="12.75">
      <c r="A31" s="2">
        <f>VLOOKUP(E31,'SHA cluster table data'!B29:C198,2,FALSE)</f>
        <v>26</v>
      </c>
      <c r="B31" s="1">
        <v>28</v>
      </c>
      <c r="C31" s="42" t="str">
        <f>VLOOKUP(E31,'SHA cluster table data'!$B$4:$G$171,6,FALSE)</f>
        <v>Q31</v>
      </c>
      <c r="D31" s="42" t="s">
        <v>50</v>
      </c>
      <c r="E31" s="71" t="s">
        <v>382</v>
      </c>
      <c r="F31" s="71">
        <v>28</v>
      </c>
      <c r="G31" s="104">
        <v>68.8913514300983</v>
      </c>
      <c r="H31" s="154">
        <f t="shared" si="0"/>
        <v>64.39412251979074</v>
      </c>
      <c r="I31" s="155">
        <f t="shared" si="1"/>
        <v>68.64678673807566</v>
      </c>
      <c r="J31" s="63">
        <v>66.55234699239502</v>
      </c>
      <c r="K31" s="63">
        <v>68.359388</v>
      </c>
      <c r="L31" s="63">
        <v>64.56187800000001</v>
      </c>
      <c r="M31" s="63">
        <v>63.239292</v>
      </c>
      <c r="N31" s="63">
        <v>66.93026400000001</v>
      </c>
      <c r="O31" s="63">
        <v>63.286916</v>
      </c>
      <c r="P31" s="86"/>
      <c r="Q31" s="103">
        <v>70.9861242301596</v>
      </c>
      <c r="R31" s="103">
        <v>60.4495070973684</v>
      </c>
      <c r="S31" s="103">
        <v>81.8806137192316</v>
      </c>
      <c r="T31" s="103">
        <v>54.2856687056116</v>
      </c>
      <c r="U31" s="103">
        <v>76.8548433981202</v>
      </c>
      <c r="V31" s="86"/>
      <c r="W31" s="158">
        <v>68.9644947322959</v>
      </c>
      <c r="X31" s="158">
        <v>56.5409740697956</v>
      </c>
      <c r="Y31" s="158">
        <v>83.249005021337</v>
      </c>
      <c r="Z31" s="158">
        <v>42.3400371268837</v>
      </c>
      <c r="AA31" s="158">
        <v>70.8761016486415</v>
      </c>
      <c r="AB31" s="159"/>
      <c r="AC31" s="158">
        <v>72.5468741224304</v>
      </c>
      <c r="AD31" s="158">
        <v>60.042550814122</v>
      </c>
      <c r="AE31" s="158">
        <v>84.8318400348003</v>
      </c>
      <c r="AF31" s="158">
        <v>52.4420283100886</v>
      </c>
      <c r="AG31" s="158">
        <v>73.370640408937</v>
      </c>
      <c r="AH31" s="9"/>
      <c r="AI31" s="63">
        <v>72.828552817217</v>
      </c>
      <c r="AJ31" s="63">
        <v>61.6118090497196</v>
      </c>
      <c r="AK31" s="63">
        <v>81.4257079006436</v>
      </c>
      <c r="AL31" s="63">
        <v>44.8583303681455</v>
      </c>
      <c r="AM31" s="63">
        <v>72.0373348262494</v>
      </c>
      <c r="AN31" s="9"/>
      <c r="AO31" s="50">
        <v>74.44144</v>
      </c>
      <c r="AP31" s="50">
        <v>63.30253</v>
      </c>
      <c r="AQ31" s="50">
        <v>81.59473</v>
      </c>
      <c r="AR31" s="50">
        <v>49.53334</v>
      </c>
      <c r="AS31" s="50">
        <v>72.9249</v>
      </c>
      <c r="AU31" s="50">
        <v>70.85874</v>
      </c>
      <c r="AV31" s="50">
        <v>59.51359</v>
      </c>
      <c r="AW31" s="50">
        <v>79.28704</v>
      </c>
      <c r="AX31" s="50">
        <v>39.81942</v>
      </c>
      <c r="AY31" s="50">
        <v>73.3306</v>
      </c>
      <c r="BA31" s="50">
        <v>69.10182</v>
      </c>
      <c r="BB31" s="50">
        <v>55.38549</v>
      </c>
      <c r="BC31" s="50">
        <v>78.89828</v>
      </c>
      <c r="BD31" s="50">
        <v>43.6394</v>
      </c>
      <c r="BE31" s="50">
        <v>69.17147</v>
      </c>
      <c r="BG31" s="50">
        <v>71.76403</v>
      </c>
      <c r="BH31" s="50">
        <v>58.42157</v>
      </c>
      <c r="BI31" s="50">
        <v>81.35246</v>
      </c>
      <c r="BJ31" s="50">
        <v>49.88387</v>
      </c>
      <c r="BK31" s="50">
        <v>73.22939</v>
      </c>
      <c r="BM31" s="50">
        <v>67.25787</v>
      </c>
      <c r="BN31" s="50">
        <v>56.82367</v>
      </c>
      <c r="BO31" s="50">
        <v>79.79494</v>
      </c>
      <c r="BP31" s="50">
        <v>43.2201</v>
      </c>
      <c r="BQ31" s="50">
        <v>69.338</v>
      </c>
    </row>
    <row r="32" spans="1:69" ht="12.75">
      <c r="A32" s="2">
        <f>VLOOKUP(E32,'SHA cluster table data'!B30:C199,2,FALSE)</f>
        <v>27</v>
      </c>
      <c r="B32" s="2">
        <v>29</v>
      </c>
      <c r="C32" s="42" t="str">
        <f>VLOOKUP(E32,'SHA cluster table data'!$B$4:$G$171,6,FALSE)</f>
        <v>Q31</v>
      </c>
      <c r="D32" s="42" t="s">
        <v>112</v>
      </c>
      <c r="E32" s="71" t="s">
        <v>326</v>
      </c>
      <c r="F32" s="71">
        <v>29</v>
      </c>
      <c r="G32" s="104">
        <v>68.5161326883974</v>
      </c>
      <c r="H32" s="154">
        <f t="shared" si="0"/>
        <v>67.86162511378966</v>
      </c>
      <c r="I32" s="155">
        <f t="shared" si="1"/>
        <v>71.45829776073899</v>
      </c>
      <c r="J32" s="63">
        <v>71.76493881430824</v>
      </c>
      <c r="K32" s="63">
        <v>72.70472000000001</v>
      </c>
      <c r="L32" s="63">
        <v>72.551076</v>
      </c>
      <c r="M32" s="63">
        <v>74.425278</v>
      </c>
      <c r="N32" s="63">
        <v>73.432376</v>
      </c>
      <c r="O32" s="63">
        <v>74.51494</v>
      </c>
      <c r="P32" s="86"/>
      <c r="Q32" s="103">
        <v>68.2718057077777</v>
      </c>
      <c r="R32" s="103">
        <v>56.7103764149219</v>
      </c>
      <c r="S32" s="103">
        <v>84.5180477803934</v>
      </c>
      <c r="T32" s="103">
        <v>50.9386076973458</v>
      </c>
      <c r="U32" s="103">
        <v>82.141825841548</v>
      </c>
      <c r="V32" s="86"/>
      <c r="W32" s="158">
        <v>70.1980472158628</v>
      </c>
      <c r="X32" s="158">
        <v>57.157929278146</v>
      </c>
      <c r="Y32" s="158">
        <v>79.4922629396733</v>
      </c>
      <c r="Z32" s="158">
        <v>52.3975922291448</v>
      </c>
      <c r="AA32" s="158">
        <v>80.0622939061214</v>
      </c>
      <c r="AB32" s="159"/>
      <c r="AC32" s="158">
        <v>72.1288749310223</v>
      </c>
      <c r="AD32" s="158">
        <v>63.9389556471244</v>
      </c>
      <c r="AE32" s="158">
        <v>79.4653500856301</v>
      </c>
      <c r="AF32" s="158">
        <v>58.6605997486069</v>
      </c>
      <c r="AG32" s="158">
        <v>83.0977083913112</v>
      </c>
      <c r="AH32" s="9"/>
      <c r="AI32" s="63">
        <v>72.599950846423</v>
      </c>
      <c r="AJ32" s="63">
        <v>65.9820722927479</v>
      </c>
      <c r="AK32" s="63">
        <v>82.951452857612</v>
      </c>
      <c r="AL32" s="63">
        <v>51.8466147718953</v>
      </c>
      <c r="AM32" s="63">
        <v>85.444603302863</v>
      </c>
      <c r="AN32" s="9"/>
      <c r="AO32" s="50">
        <v>72.15973</v>
      </c>
      <c r="AP32" s="50">
        <v>63.3608</v>
      </c>
      <c r="AQ32" s="50">
        <v>82.8332</v>
      </c>
      <c r="AR32" s="50">
        <v>57.26358</v>
      </c>
      <c r="AS32" s="50">
        <v>87.90629</v>
      </c>
      <c r="AU32" s="50">
        <v>73.98585</v>
      </c>
      <c r="AV32" s="50">
        <v>63.73753</v>
      </c>
      <c r="AW32" s="50">
        <v>82.21131</v>
      </c>
      <c r="AX32" s="50">
        <v>57.10043</v>
      </c>
      <c r="AY32" s="50">
        <v>85.72026</v>
      </c>
      <c r="BA32" s="50">
        <v>73.85549</v>
      </c>
      <c r="BB32" s="50">
        <v>66.1612</v>
      </c>
      <c r="BC32" s="50">
        <v>81.93072</v>
      </c>
      <c r="BD32" s="50">
        <v>61.04268</v>
      </c>
      <c r="BE32" s="50">
        <v>89.1363</v>
      </c>
      <c r="BG32" s="50">
        <v>74.297</v>
      </c>
      <c r="BH32" s="50">
        <v>61.62043</v>
      </c>
      <c r="BI32" s="50">
        <v>84.68193</v>
      </c>
      <c r="BJ32" s="50">
        <v>59.9077</v>
      </c>
      <c r="BK32" s="50">
        <v>86.65482</v>
      </c>
      <c r="BM32" s="50">
        <v>74.85435</v>
      </c>
      <c r="BN32" s="50">
        <v>69.81792</v>
      </c>
      <c r="BO32" s="50">
        <v>83.65109</v>
      </c>
      <c r="BP32" s="50">
        <v>57.73141</v>
      </c>
      <c r="BQ32" s="50">
        <v>86.51993</v>
      </c>
    </row>
    <row r="33" spans="1:69" ht="12.75">
      <c r="A33" s="2">
        <f>VLOOKUP(E33,'SHA cluster table data'!B31:C200,2,FALSE)</f>
        <v>28</v>
      </c>
      <c r="B33" s="2">
        <v>30</v>
      </c>
      <c r="C33" s="42" t="str">
        <f>VLOOKUP(E33,'SHA cluster table data'!$B$4:$G$171,6,FALSE)</f>
        <v>Q36</v>
      </c>
      <c r="D33" s="42" t="s">
        <v>226</v>
      </c>
      <c r="E33" s="71" t="s">
        <v>355</v>
      </c>
      <c r="F33" s="71">
        <v>30</v>
      </c>
      <c r="G33" s="104">
        <v>57.4340219460181</v>
      </c>
      <c r="H33" s="154">
        <f t="shared" si="0"/>
        <v>58.645616598667495</v>
      </c>
      <c r="I33" s="155">
        <f t="shared" si="1"/>
        <v>56.67951087373024</v>
      </c>
      <c r="J33" s="63">
        <v>58.257789186953616</v>
      </c>
      <c r="K33" s="63">
        <v>60.863988000000006</v>
      </c>
      <c r="L33" s="63">
        <v>54.589952</v>
      </c>
      <c r="M33" s="63">
        <v>56.342406000000004</v>
      </c>
      <c r="N33" s="63">
        <v>57.08057799999999</v>
      </c>
      <c r="O33" s="63">
        <v>56.290166</v>
      </c>
      <c r="P33" s="86"/>
      <c r="Q33" s="103">
        <v>63.2361937876346</v>
      </c>
      <c r="R33" s="103">
        <v>42.2833378961141</v>
      </c>
      <c r="S33" s="103">
        <v>79.1952924360382</v>
      </c>
      <c r="T33" s="103">
        <v>33.7108645065503</v>
      </c>
      <c r="U33" s="103">
        <v>68.7444211037535</v>
      </c>
      <c r="V33" s="86"/>
      <c r="W33" s="158">
        <v>63.8236949546285</v>
      </c>
      <c r="X33" s="158">
        <v>44.770405578782</v>
      </c>
      <c r="Y33" s="158">
        <v>76.1163720340857</v>
      </c>
      <c r="Z33" s="158">
        <v>40.4250244621014</v>
      </c>
      <c r="AA33" s="158">
        <v>68.0925859637399</v>
      </c>
      <c r="AB33" s="159"/>
      <c r="AC33" s="158">
        <v>62.0353031331183</v>
      </c>
      <c r="AD33" s="158">
        <v>47.393710279452</v>
      </c>
      <c r="AE33" s="158">
        <v>75.9762176386975</v>
      </c>
      <c r="AF33" s="158">
        <v>37.1758436562163</v>
      </c>
      <c r="AG33" s="158">
        <v>60.8164796611671</v>
      </c>
      <c r="AH33" s="9"/>
      <c r="AI33" s="63">
        <v>65.12581084437</v>
      </c>
      <c r="AJ33" s="63">
        <v>47.897188932679</v>
      </c>
      <c r="AK33" s="63">
        <v>76.7953371105763</v>
      </c>
      <c r="AL33" s="63">
        <v>37.1911534054336</v>
      </c>
      <c r="AM33" s="63">
        <v>64.2794556417092</v>
      </c>
      <c r="AN33" s="9"/>
      <c r="AO33" s="50">
        <v>63.89061</v>
      </c>
      <c r="AP33" s="50">
        <v>52.60371</v>
      </c>
      <c r="AQ33" s="50">
        <v>78.09686</v>
      </c>
      <c r="AR33" s="50">
        <v>41.49279</v>
      </c>
      <c r="AS33" s="50">
        <v>68.23597</v>
      </c>
      <c r="AU33" s="50">
        <v>59.06927</v>
      </c>
      <c r="AV33" s="50">
        <v>43.55075</v>
      </c>
      <c r="AW33" s="50">
        <v>74.03429</v>
      </c>
      <c r="AX33" s="50">
        <v>35.35151</v>
      </c>
      <c r="AY33" s="50">
        <v>60.94394</v>
      </c>
      <c r="BA33" s="50">
        <v>61.85791</v>
      </c>
      <c r="BB33" s="50">
        <v>48.19881</v>
      </c>
      <c r="BC33" s="50">
        <v>74.97421</v>
      </c>
      <c r="BD33" s="50">
        <v>32.86102</v>
      </c>
      <c r="BE33" s="50">
        <v>63.82008</v>
      </c>
      <c r="BG33" s="50">
        <v>62.80195</v>
      </c>
      <c r="BH33" s="50">
        <v>49.61179</v>
      </c>
      <c r="BI33" s="50">
        <v>76.27669</v>
      </c>
      <c r="BJ33" s="50">
        <v>35.87542</v>
      </c>
      <c r="BK33" s="50">
        <v>60.83704</v>
      </c>
      <c r="BM33" s="50">
        <v>62.98855</v>
      </c>
      <c r="BN33" s="50">
        <v>46.12764</v>
      </c>
      <c r="BO33" s="50">
        <v>75.66322</v>
      </c>
      <c r="BP33" s="50">
        <v>35.15585</v>
      </c>
      <c r="BQ33" s="50">
        <v>61.51557</v>
      </c>
    </row>
    <row r="34" spans="1:69" ht="12.75">
      <c r="A34" s="2">
        <f>VLOOKUP(E34,'SHA cluster table data'!B32:C201,2,FALSE)</f>
        <v>29</v>
      </c>
      <c r="B34" s="2">
        <v>31</v>
      </c>
      <c r="C34" s="42" t="str">
        <f>VLOOKUP(E34,'SHA cluster table data'!$B$4:$G$171,6,FALSE)</f>
        <v>Q39</v>
      </c>
      <c r="D34" s="42" t="s">
        <v>120</v>
      </c>
      <c r="E34" s="71" t="s">
        <v>86</v>
      </c>
      <c r="F34" s="71">
        <v>31</v>
      </c>
      <c r="G34" s="104">
        <v>64.8053512320063</v>
      </c>
      <c r="H34" s="154">
        <f t="shared" si="0"/>
        <v>60.77169698154576</v>
      </c>
      <c r="I34" s="155">
        <f t="shared" si="1"/>
        <v>66.56893301604023</v>
      </c>
      <c r="J34" s="63">
        <v>66.9935216765524</v>
      </c>
      <c r="K34" s="63">
        <v>68.256394</v>
      </c>
      <c r="L34" s="63">
        <v>68.207638</v>
      </c>
      <c r="M34" s="63">
        <v>66.47205199999999</v>
      </c>
      <c r="N34" s="63">
        <v>68.16668999999999</v>
      </c>
      <c r="O34" s="63">
        <v>71.21556000000001</v>
      </c>
      <c r="P34" s="86"/>
      <c r="Q34" s="103">
        <v>69.6316969411197</v>
      </c>
      <c r="R34" s="103">
        <v>50.8990672166003</v>
      </c>
      <c r="S34" s="103">
        <v>84.026434027675</v>
      </c>
      <c r="T34" s="103">
        <v>41.7484607864339</v>
      </c>
      <c r="U34" s="103">
        <v>77.7210971882026</v>
      </c>
      <c r="V34" s="86"/>
      <c r="W34" s="158">
        <v>64.7181864526063</v>
      </c>
      <c r="X34" s="158">
        <v>46.9057464050949</v>
      </c>
      <c r="Y34" s="158">
        <v>76.5463283354421</v>
      </c>
      <c r="Z34" s="158">
        <v>41.2555658812485</v>
      </c>
      <c r="AA34" s="158">
        <v>74.432657833337</v>
      </c>
      <c r="AB34" s="159"/>
      <c r="AC34" s="158">
        <v>68.6575165320134</v>
      </c>
      <c r="AD34" s="158">
        <v>59.1510679917288</v>
      </c>
      <c r="AE34" s="158">
        <v>82.0393023393942</v>
      </c>
      <c r="AF34" s="158">
        <v>47.0885821521312</v>
      </c>
      <c r="AG34" s="158">
        <v>75.9081960649335</v>
      </c>
      <c r="AH34" s="9"/>
      <c r="AI34" s="63">
        <v>68.4688032529663</v>
      </c>
      <c r="AJ34" s="63">
        <v>61.8596959491086</v>
      </c>
      <c r="AK34" s="63">
        <v>81.4322994802095</v>
      </c>
      <c r="AL34" s="63">
        <v>42.1035542984509</v>
      </c>
      <c r="AM34" s="63">
        <v>81.1032554020267</v>
      </c>
      <c r="AN34" s="9"/>
      <c r="AO34" s="50">
        <v>69.16402</v>
      </c>
      <c r="AP34" s="50">
        <v>58.91624</v>
      </c>
      <c r="AQ34" s="50">
        <v>83.21967</v>
      </c>
      <c r="AR34" s="50">
        <v>46.91037</v>
      </c>
      <c r="AS34" s="50">
        <v>83.07167</v>
      </c>
      <c r="AU34" s="50">
        <v>70.48503</v>
      </c>
      <c r="AV34" s="50">
        <v>63.91998</v>
      </c>
      <c r="AW34" s="50">
        <v>82.65398</v>
      </c>
      <c r="AX34" s="50">
        <v>47.73476</v>
      </c>
      <c r="AY34" s="50">
        <v>76.24444</v>
      </c>
      <c r="BA34" s="50">
        <v>71.07288</v>
      </c>
      <c r="BB34" s="50">
        <v>54.85244</v>
      </c>
      <c r="BC34" s="50">
        <v>82.14079</v>
      </c>
      <c r="BD34" s="50">
        <v>45.49482</v>
      </c>
      <c r="BE34" s="50">
        <v>78.79933</v>
      </c>
      <c r="BG34" s="50">
        <v>71.30229</v>
      </c>
      <c r="BH34" s="50">
        <v>60.79626</v>
      </c>
      <c r="BI34" s="50">
        <v>81.96666</v>
      </c>
      <c r="BJ34" s="50">
        <v>49.57582</v>
      </c>
      <c r="BK34" s="50">
        <v>77.19242</v>
      </c>
      <c r="BM34" s="50">
        <v>71.28982</v>
      </c>
      <c r="BN34" s="50">
        <v>61.92235</v>
      </c>
      <c r="BO34" s="50">
        <v>82.64677</v>
      </c>
      <c r="BP34" s="50">
        <v>56.651</v>
      </c>
      <c r="BQ34" s="50">
        <v>83.56786</v>
      </c>
    </row>
    <row r="35" spans="1:69" ht="12.75">
      <c r="A35" s="2">
        <f>VLOOKUP(E35,'SHA cluster table data'!B33:C202,2,FALSE)</f>
        <v>30</v>
      </c>
      <c r="B35" s="1">
        <v>32</v>
      </c>
      <c r="C35" s="42" t="str">
        <f>VLOOKUP(E35,'SHA cluster table data'!$B$4:$G$171,6,FALSE)</f>
        <v>Q34</v>
      </c>
      <c r="D35" s="42" t="s">
        <v>33</v>
      </c>
      <c r="E35" s="71" t="s">
        <v>364</v>
      </c>
      <c r="F35" s="71">
        <v>32</v>
      </c>
      <c r="G35" s="104">
        <v>70.1722571512576</v>
      </c>
      <c r="H35" s="154">
        <f t="shared" si="0"/>
        <v>70.44088079932064</v>
      </c>
      <c r="I35" s="155">
        <f t="shared" si="1"/>
        <v>72.75248362821331</v>
      </c>
      <c r="J35" s="63">
        <v>71.56266120919676</v>
      </c>
      <c r="K35" s="63">
        <v>72.744688</v>
      </c>
      <c r="L35" s="63">
        <v>69.97997</v>
      </c>
      <c r="M35" s="63">
        <v>70.177748</v>
      </c>
      <c r="N35" s="63">
        <v>67.87208</v>
      </c>
      <c r="O35" s="63">
        <v>72.116022</v>
      </c>
      <c r="P35" s="86"/>
      <c r="Q35" s="103">
        <v>76.23087410962</v>
      </c>
      <c r="R35" s="103">
        <v>58.5589451780779</v>
      </c>
      <c r="S35" s="103">
        <v>87.7356842770668</v>
      </c>
      <c r="T35" s="103">
        <v>49.3448594297698</v>
      </c>
      <c r="U35" s="103">
        <v>78.9909227617536</v>
      </c>
      <c r="V35" s="86"/>
      <c r="W35" s="158">
        <v>72.1647069951013</v>
      </c>
      <c r="X35" s="158">
        <v>62.709891597054</v>
      </c>
      <c r="Y35" s="158">
        <v>85.5127708730096</v>
      </c>
      <c r="Z35" s="158">
        <v>52.4218435011513</v>
      </c>
      <c r="AA35" s="158">
        <v>79.395191030287</v>
      </c>
      <c r="AB35" s="159"/>
      <c r="AC35" s="158">
        <v>76.3084054068463</v>
      </c>
      <c r="AD35" s="158">
        <v>63.5639879629604</v>
      </c>
      <c r="AE35" s="158">
        <v>88.4152940591549</v>
      </c>
      <c r="AF35" s="158">
        <v>50.7484160088901</v>
      </c>
      <c r="AG35" s="158">
        <v>84.7263147032149</v>
      </c>
      <c r="AH35" s="9"/>
      <c r="AI35" s="63">
        <v>75.2794802879985</v>
      </c>
      <c r="AJ35" s="63">
        <v>62.6696191374056</v>
      </c>
      <c r="AK35" s="63">
        <v>84.6403126149032</v>
      </c>
      <c r="AL35" s="63">
        <v>51.338950230924</v>
      </c>
      <c r="AM35" s="63">
        <v>83.8849437747525</v>
      </c>
      <c r="AN35" s="9"/>
      <c r="AO35" s="50">
        <v>75.62732</v>
      </c>
      <c r="AP35" s="50">
        <v>66.06041</v>
      </c>
      <c r="AQ35" s="50">
        <v>86.62572</v>
      </c>
      <c r="AR35" s="50">
        <v>54.06189</v>
      </c>
      <c r="AS35" s="50">
        <v>81.3481</v>
      </c>
      <c r="AU35" s="50">
        <v>74.50817</v>
      </c>
      <c r="AV35" s="50">
        <v>63.72846</v>
      </c>
      <c r="AW35" s="50">
        <v>80.69987</v>
      </c>
      <c r="AX35" s="50">
        <v>51.81491</v>
      </c>
      <c r="AY35" s="50">
        <v>79.14844</v>
      </c>
      <c r="BA35" s="50">
        <v>72.14265</v>
      </c>
      <c r="BB35" s="50">
        <v>60.26952</v>
      </c>
      <c r="BC35" s="50">
        <v>79.67412</v>
      </c>
      <c r="BD35" s="50">
        <v>55.36184</v>
      </c>
      <c r="BE35" s="50">
        <v>83.44061</v>
      </c>
      <c r="BG35" s="50">
        <v>71.87897</v>
      </c>
      <c r="BH35" s="50">
        <v>55.11406</v>
      </c>
      <c r="BI35" s="50">
        <v>79.58951</v>
      </c>
      <c r="BJ35" s="50">
        <v>52.65329</v>
      </c>
      <c r="BK35" s="50">
        <v>80.12457</v>
      </c>
      <c r="BM35" s="50">
        <v>75.93961</v>
      </c>
      <c r="BN35" s="50">
        <v>59.86935</v>
      </c>
      <c r="BO35" s="50">
        <v>82.4355</v>
      </c>
      <c r="BP35" s="50">
        <v>56.08979</v>
      </c>
      <c r="BQ35" s="50">
        <v>86.24586</v>
      </c>
    </row>
    <row r="36" spans="1:69" ht="12.75">
      <c r="A36" s="2">
        <f>VLOOKUP(E36,'SHA cluster table data'!B34:C203,2,FALSE)</f>
        <v>31</v>
      </c>
      <c r="B36" s="2">
        <v>33</v>
      </c>
      <c r="C36" s="42" t="str">
        <f>VLOOKUP(E36,'SHA cluster table data'!$B$4:$G$171,6,FALSE)</f>
        <v>Q31</v>
      </c>
      <c r="D36" s="42" t="s">
        <v>51</v>
      </c>
      <c r="E36" s="71" t="s">
        <v>388</v>
      </c>
      <c r="F36" s="71">
        <v>33</v>
      </c>
      <c r="G36" s="104">
        <v>68.8629737002705</v>
      </c>
      <c r="H36" s="154">
        <f t="shared" si="0"/>
        <v>65.5059697118238</v>
      </c>
      <c r="I36" s="155">
        <f t="shared" si="1"/>
        <v>67.4429771813545</v>
      </c>
      <c r="J36" s="63">
        <v>67.24881707918273</v>
      </c>
      <c r="K36" s="63">
        <v>69.75389600000001</v>
      </c>
      <c r="L36" s="63">
        <v>68.29595200000001</v>
      </c>
      <c r="M36" s="63">
        <v>68.68156200000001</v>
      </c>
      <c r="N36" s="63">
        <v>71.983324</v>
      </c>
      <c r="O36" s="63">
        <v>68.363004</v>
      </c>
      <c r="P36" s="86"/>
      <c r="Q36" s="103">
        <v>74.423000184969</v>
      </c>
      <c r="R36" s="103">
        <v>61.4732496721878</v>
      </c>
      <c r="S36" s="103">
        <v>84.1005164772477</v>
      </c>
      <c r="T36" s="103">
        <v>44.3871122527744</v>
      </c>
      <c r="U36" s="103">
        <v>79.9309899141737</v>
      </c>
      <c r="V36" s="86"/>
      <c r="W36" s="158">
        <v>66.8266375785132</v>
      </c>
      <c r="X36" s="158">
        <v>58.1396630456303</v>
      </c>
      <c r="Y36" s="158">
        <v>83.2834481307601</v>
      </c>
      <c r="Z36" s="158">
        <v>41.7677747041522</v>
      </c>
      <c r="AA36" s="158">
        <v>77.5123251000632</v>
      </c>
      <c r="AB36" s="159"/>
      <c r="AC36" s="158">
        <v>71.9477431809058</v>
      </c>
      <c r="AD36" s="158">
        <v>59.1121350985027</v>
      </c>
      <c r="AE36" s="158">
        <v>82.3038308370624</v>
      </c>
      <c r="AF36" s="158">
        <v>44.1738274746107</v>
      </c>
      <c r="AG36" s="158">
        <v>79.6773493156908</v>
      </c>
      <c r="AH36" s="9"/>
      <c r="AI36" s="63">
        <v>71.9927947898862</v>
      </c>
      <c r="AJ36" s="63">
        <v>62.1309607421553</v>
      </c>
      <c r="AK36" s="63">
        <v>80.6316135825888</v>
      </c>
      <c r="AL36" s="63">
        <v>45.2079105382618</v>
      </c>
      <c r="AM36" s="63">
        <v>76.2808057430216</v>
      </c>
      <c r="AN36" s="9"/>
      <c r="AO36" s="50">
        <v>73.9923</v>
      </c>
      <c r="AP36" s="50">
        <v>62.24125</v>
      </c>
      <c r="AQ36" s="50">
        <v>82.89571</v>
      </c>
      <c r="AR36" s="50">
        <v>50.23943</v>
      </c>
      <c r="AS36" s="50">
        <v>79.40079</v>
      </c>
      <c r="AU36" s="50">
        <v>70.87273</v>
      </c>
      <c r="AV36" s="50">
        <v>63.36807</v>
      </c>
      <c r="AW36" s="50">
        <v>83.54181</v>
      </c>
      <c r="AX36" s="50">
        <v>44.59652</v>
      </c>
      <c r="AY36" s="50">
        <v>79.10063</v>
      </c>
      <c r="BA36" s="50">
        <v>70.19595</v>
      </c>
      <c r="BB36" s="50">
        <v>62.80375</v>
      </c>
      <c r="BC36" s="50">
        <v>82.44539</v>
      </c>
      <c r="BD36" s="50">
        <v>48.97219</v>
      </c>
      <c r="BE36" s="50">
        <v>78.99053</v>
      </c>
      <c r="BG36" s="50">
        <v>73.86359</v>
      </c>
      <c r="BH36" s="50">
        <v>66.7429</v>
      </c>
      <c r="BI36" s="50">
        <v>83.06052</v>
      </c>
      <c r="BJ36" s="50">
        <v>53.11915</v>
      </c>
      <c r="BK36" s="50">
        <v>83.13046</v>
      </c>
      <c r="BM36" s="50">
        <v>70.33545</v>
      </c>
      <c r="BN36" s="50">
        <v>63.342</v>
      </c>
      <c r="BO36" s="50">
        <v>81.63525</v>
      </c>
      <c r="BP36" s="50">
        <v>45.45407</v>
      </c>
      <c r="BQ36" s="50">
        <v>81.04825</v>
      </c>
    </row>
    <row r="37" spans="1:69" ht="12.75">
      <c r="A37" s="2">
        <f>VLOOKUP(E37,'SHA cluster table data'!B35:C204,2,FALSE)</f>
        <v>32</v>
      </c>
      <c r="B37" s="2">
        <v>34</v>
      </c>
      <c r="C37" s="42" t="str">
        <f>VLOOKUP(E37,'SHA cluster table data'!$B$4:$G$171,6,FALSE)</f>
        <v>Q39</v>
      </c>
      <c r="D37" s="42" t="s">
        <v>110</v>
      </c>
      <c r="E37" s="71" t="s">
        <v>321</v>
      </c>
      <c r="F37" s="71">
        <v>34</v>
      </c>
      <c r="G37" s="104">
        <v>66.9080915246219</v>
      </c>
      <c r="H37" s="154">
        <f t="shared" si="0"/>
        <v>68.2472491251942</v>
      </c>
      <c r="I37" s="155">
        <f t="shared" si="1"/>
        <v>69.35805498562749</v>
      </c>
      <c r="J37" s="63">
        <v>67.83227476859946</v>
      </c>
      <c r="K37" s="63">
        <v>69.373456</v>
      </c>
      <c r="L37" s="63">
        <v>68.74166</v>
      </c>
      <c r="M37" s="63">
        <v>67.091824</v>
      </c>
      <c r="N37" s="65" t="s">
        <v>426</v>
      </c>
      <c r="O37" s="63">
        <v>69.972544</v>
      </c>
      <c r="P37" s="86"/>
      <c r="Q37" s="103">
        <v>71.428474181961</v>
      </c>
      <c r="R37" s="103">
        <v>58.6159704623213</v>
      </c>
      <c r="S37" s="103">
        <v>81.3658153772721</v>
      </c>
      <c r="T37" s="103">
        <v>46.5551622016604</v>
      </c>
      <c r="U37" s="103">
        <v>76.5750353998948</v>
      </c>
      <c r="V37" s="86"/>
      <c r="W37" s="158">
        <v>72.745807095006</v>
      </c>
      <c r="X37" s="158">
        <v>61.8266917704066</v>
      </c>
      <c r="Y37" s="158">
        <v>81.2002159219515</v>
      </c>
      <c r="Z37" s="158">
        <v>49.5326261967259</v>
      </c>
      <c r="AA37" s="158">
        <v>75.930904641881</v>
      </c>
      <c r="AB37" s="159"/>
      <c r="AC37" s="158">
        <v>72.5403097984229</v>
      </c>
      <c r="AD37" s="158">
        <v>62.3229474441599</v>
      </c>
      <c r="AE37" s="158">
        <v>81.0388989058289</v>
      </c>
      <c r="AF37" s="158">
        <v>52.3421636337537</v>
      </c>
      <c r="AG37" s="158">
        <v>78.5459551459721</v>
      </c>
      <c r="AH37" s="9"/>
      <c r="AI37" s="63">
        <v>72.6216783848342</v>
      </c>
      <c r="AJ37" s="63">
        <v>60.193351831609</v>
      </c>
      <c r="AK37" s="63">
        <v>81.0217084770334</v>
      </c>
      <c r="AL37" s="63">
        <v>45.6671765648303</v>
      </c>
      <c r="AM37" s="63">
        <v>79.6574585846904</v>
      </c>
      <c r="AN37" s="9"/>
      <c r="AO37" s="50">
        <v>72.8139</v>
      </c>
      <c r="AP37" s="50">
        <v>61.4569</v>
      </c>
      <c r="AQ37" s="50">
        <v>82.13038</v>
      </c>
      <c r="AR37" s="50">
        <v>51.42456</v>
      </c>
      <c r="AS37" s="50">
        <v>79.04154</v>
      </c>
      <c r="AU37" s="50">
        <v>73.34367</v>
      </c>
      <c r="AV37" s="50">
        <v>64.63629</v>
      </c>
      <c r="AW37" s="50">
        <v>79.41708</v>
      </c>
      <c r="AX37" s="50">
        <v>47.40889</v>
      </c>
      <c r="AY37" s="50">
        <v>78.90237</v>
      </c>
      <c r="BA37" s="50">
        <v>70.21579</v>
      </c>
      <c r="BB37" s="50">
        <v>62.26812</v>
      </c>
      <c r="BC37" s="50">
        <v>78.85106</v>
      </c>
      <c r="BD37" s="50">
        <v>44.20573</v>
      </c>
      <c r="BE37" s="50">
        <v>79.91842</v>
      </c>
      <c r="BG37" s="50" t="s">
        <v>426</v>
      </c>
      <c r="BH37" s="50" t="s">
        <v>426</v>
      </c>
      <c r="BI37" s="50" t="s">
        <v>426</v>
      </c>
      <c r="BJ37" s="50" t="s">
        <v>426</v>
      </c>
      <c r="BK37" s="68" t="s">
        <v>426</v>
      </c>
      <c r="BM37" s="50">
        <v>74.25688</v>
      </c>
      <c r="BN37" s="50">
        <v>61.0555</v>
      </c>
      <c r="BO37" s="50">
        <v>80.52059</v>
      </c>
      <c r="BP37" s="50">
        <v>50.43776</v>
      </c>
      <c r="BQ37" s="50">
        <v>83.59199</v>
      </c>
    </row>
    <row r="38" spans="1:69" ht="12.75">
      <c r="A38" s="2">
        <f>VLOOKUP(E38,'SHA cluster table data'!B36:C205,2,FALSE)</f>
        <v>33</v>
      </c>
      <c r="B38" s="2">
        <v>35</v>
      </c>
      <c r="C38" s="42" t="str">
        <f>VLOOKUP(E38,'SHA cluster table data'!$B$4:$G$171,6,FALSE)</f>
        <v>Q34</v>
      </c>
      <c r="D38" s="42" t="s">
        <v>252</v>
      </c>
      <c r="E38" s="71" t="s">
        <v>348</v>
      </c>
      <c r="F38" s="71">
        <v>35</v>
      </c>
      <c r="G38" s="104">
        <v>64.9069754962726</v>
      </c>
      <c r="H38" s="154">
        <f t="shared" si="0"/>
        <v>63.83001405743384</v>
      </c>
      <c r="I38" s="155">
        <f t="shared" si="1"/>
        <v>62.29838964563536</v>
      </c>
      <c r="J38" s="63">
        <v>66.03328306780642</v>
      </c>
      <c r="K38" s="63">
        <v>66.64943600000001</v>
      </c>
      <c r="L38" s="63">
        <v>67.203362</v>
      </c>
      <c r="M38" s="63">
        <v>64.45676399999999</v>
      </c>
      <c r="N38" s="63">
        <v>62.904301999999994</v>
      </c>
      <c r="O38" s="63">
        <v>65.703526</v>
      </c>
      <c r="P38" s="86"/>
      <c r="Q38" s="103">
        <v>67.7393497451032</v>
      </c>
      <c r="R38" s="103">
        <v>54.7392993637605</v>
      </c>
      <c r="S38" s="103">
        <v>81.9464483878328</v>
      </c>
      <c r="T38" s="103">
        <v>42.9118870679762</v>
      </c>
      <c r="U38" s="103">
        <v>77.1978929166904</v>
      </c>
      <c r="V38" s="86"/>
      <c r="W38" s="158">
        <v>67.8950803609378</v>
      </c>
      <c r="X38" s="158">
        <v>55.9504186237487</v>
      </c>
      <c r="Y38" s="158">
        <v>79.1397752665578</v>
      </c>
      <c r="Z38" s="158">
        <v>43.2557579748679</v>
      </c>
      <c r="AA38" s="158">
        <v>72.909038061057</v>
      </c>
      <c r="AB38" s="159"/>
      <c r="AC38" s="158">
        <v>66.1943021453716</v>
      </c>
      <c r="AD38" s="158">
        <v>54.7054990506931</v>
      </c>
      <c r="AE38" s="158">
        <v>80.7497442587405</v>
      </c>
      <c r="AF38" s="158">
        <v>37.3509947816049</v>
      </c>
      <c r="AG38" s="158">
        <v>72.4914079917667</v>
      </c>
      <c r="AH38" s="9"/>
      <c r="AI38" s="63">
        <v>68.4944499507658</v>
      </c>
      <c r="AJ38" s="63">
        <v>59.5994689452476</v>
      </c>
      <c r="AK38" s="63">
        <v>81.9903615445428</v>
      </c>
      <c r="AL38" s="63">
        <v>44.5161375409948</v>
      </c>
      <c r="AM38" s="63">
        <v>75.5659973574811</v>
      </c>
      <c r="AN38" s="9"/>
      <c r="AO38" s="50">
        <v>69.95171</v>
      </c>
      <c r="AP38" s="50">
        <v>58.93866</v>
      </c>
      <c r="AQ38" s="50">
        <v>81.58112</v>
      </c>
      <c r="AR38" s="50">
        <v>45.7776</v>
      </c>
      <c r="AS38" s="50">
        <v>76.99809</v>
      </c>
      <c r="AU38" s="50">
        <v>71.80082</v>
      </c>
      <c r="AV38" s="50">
        <v>58.52948</v>
      </c>
      <c r="AW38" s="50">
        <v>82.17682</v>
      </c>
      <c r="AX38" s="50">
        <v>43.83014</v>
      </c>
      <c r="AY38" s="50">
        <v>79.67955</v>
      </c>
      <c r="BA38" s="50">
        <v>66.87778</v>
      </c>
      <c r="BB38" s="50">
        <v>57.64992</v>
      </c>
      <c r="BC38" s="50">
        <v>79.98368</v>
      </c>
      <c r="BD38" s="50">
        <v>43.56587</v>
      </c>
      <c r="BE38" s="50">
        <v>74.20657</v>
      </c>
      <c r="BG38" s="50">
        <v>65.76074</v>
      </c>
      <c r="BH38" s="50">
        <v>55.20027</v>
      </c>
      <c r="BI38" s="50">
        <v>80.63259</v>
      </c>
      <c r="BJ38" s="50">
        <v>39.2431</v>
      </c>
      <c r="BK38" s="50">
        <v>73.68481</v>
      </c>
      <c r="BM38" s="50">
        <v>65.8921</v>
      </c>
      <c r="BN38" s="50">
        <v>60.60987</v>
      </c>
      <c r="BO38" s="50">
        <v>77.16896</v>
      </c>
      <c r="BP38" s="50">
        <v>43.43601</v>
      </c>
      <c r="BQ38" s="50">
        <v>81.41069</v>
      </c>
    </row>
    <row r="39" spans="1:69" ht="12.75">
      <c r="A39" s="2">
        <f>VLOOKUP(E39,'SHA cluster table data'!B37:C206,2,FALSE)</f>
        <v>34</v>
      </c>
      <c r="B39" s="1">
        <v>36</v>
      </c>
      <c r="C39" s="42" t="str">
        <f>VLOOKUP(E39,'SHA cluster table data'!$B$4:$G$171,6,FALSE)</f>
        <v>Q36</v>
      </c>
      <c r="D39" s="42" t="s">
        <v>121</v>
      </c>
      <c r="E39" s="71" t="s">
        <v>87</v>
      </c>
      <c r="F39" s="71">
        <v>36</v>
      </c>
      <c r="G39" s="104">
        <v>63.07821104457</v>
      </c>
      <c r="H39" s="154">
        <f t="shared" si="0"/>
        <v>59.90264849105763</v>
      </c>
      <c r="I39" s="155">
        <f t="shared" si="1"/>
        <v>61.92257647443971</v>
      </c>
      <c r="J39" s="63">
        <v>59.0882912823742</v>
      </c>
      <c r="K39" s="63">
        <v>59.29669199999999</v>
      </c>
      <c r="L39" s="63">
        <v>56.121612000000006</v>
      </c>
      <c r="M39" s="63">
        <v>57.676933999999996</v>
      </c>
      <c r="N39" s="63">
        <v>55.76431</v>
      </c>
      <c r="O39" s="63">
        <v>57.90902</v>
      </c>
      <c r="P39" s="86"/>
      <c r="Q39" s="103">
        <v>68.836875121514</v>
      </c>
      <c r="R39" s="103">
        <v>44.2064942437293</v>
      </c>
      <c r="S39" s="103">
        <v>84.3883299497247</v>
      </c>
      <c r="T39" s="103">
        <v>43.7259763891166</v>
      </c>
      <c r="U39" s="103">
        <v>74.2333795187655</v>
      </c>
      <c r="V39" s="86"/>
      <c r="W39" s="158">
        <v>64.394177316133</v>
      </c>
      <c r="X39" s="158">
        <v>47.7053352554052</v>
      </c>
      <c r="Y39" s="158">
        <v>73.9530453302228</v>
      </c>
      <c r="Z39" s="158">
        <v>47.2271920982692</v>
      </c>
      <c r="AA39" s="158">
        <v>66.2334924552579</v>
      </c>
      <c r="AB39" s="159"/>
      <c r="AC39" s="158">
        <v>62.9066092177334</v>
      </c>
      <c r="AD39" s="158">
        <v>51.5875339776717</v>
      </c>
      <c r="AE39" s="158">
        <v>79.4850953805562</v>
      </c>
      <c r="AF39" s="158">
        <v>46.7045744995784</v>
      </c>
      <c r="AG39" s="158">
        <v>68.9290692966589</v>
      </c>
      <c r="AH39" s="9"/>
      <c r="AI39" s="63">
        <v>60.0274023093953</v>
      </c>
      <c r="AJ39" s="63">
        <v>49.2055197195547</v>
      </c>
      <c r="AK39" s="63">
        <v>75.2432414753401</v>
      </c>
      <c r="AL39" s="63">
        <v>45.0027100516054</v>
      </c>
      <c r="AM39" s="63">
        <v>65.9625828559755</v>
      </c>
      <c r="AN39" s="9"/>
      <c r="AO39" s="50">
        <v>65.2963</v>
      </c>
      <c r="AP39" s="50">
        <v>47.545</v>
      </c>
      <c r="AQ39" s="50">
        <v>78.43478</v>
      </c>
      <c r="AR39" s="50">
        <v>37.88132</v>
      </c>
      <c r="AS39" s="50">
        <v>67.32606</v>
      </c>
      <c r="AU39" s="50">
        <v>65.48193</v>
      </c>
      <c r="AV39" s="50">
        <v>42.79728</v>
      </c>
      <c r="AW39" s="50">
        <v>75.519</v>
      </c>
      <c r="AX39" s="50">
        <v>37.6205</v>
      </c>
      <c r="AY39" s="50">
        <v>59.18935</v>
      </c>
      <c r="BA39" s="50">
        <v>62.05276</v>
      </c>
      <c r="BB39" s="50">
        <v>46.06578</v>
      </c>
      <c r="BC39" s="50">
        <v>77.36314</v>
      </c>
      <c r="BD39" s="50">
        <v>38.64869</v>
      </c>
      <c r="BE39" s="50">
        <v>64.2543</v>
      </c>
      <c r="BG39" s="50">
        <v>64.19412</v>
      </c>
      <c r="BH39" s="50">
        <v>41.67687</v>
      </c>
      <c r="BI39" s="50">
        <v>78.19031</v>
      </c>
      <c r="BJ39" s="50">
        <v>34.81376</v>
      </c>
      <c r="BK39" s="50">
        <v>59.94649</v>
      </c>
      <c r="BM39" s="50">
        <v>58.40356</v>
      </c>
      <c r="BN39" s="50">
        <v>49.58095</v>
      </c>
      <c r="BO39" s="50">
        <v>72.86118</v>
      </c>
      <c r="BP39" s="50">
        <v>43.03366</v>
      </c>
      <c r="BQ39" s="50">
        <v>65.66575</v>
      </c>
    </row>
    <row r="40" spans="1:69" ht="12.75">
      <c r="A40" s="2">
        <f>VLOOKUP(E40,'SHA cluster table data'!B38:C207,2,FALSE)</f>
        <v>35</v>
      </c>
      <c r="B40" s="2">
        <v>37</v>
      </c>
      <c r="C40" s="42" t="str">
        <f>VLOOKUP(E40,'SHA cluster table data'!$B$4:$G$171,6,FALSE)</f>
        <v>Q34</v>
      </c>
      <c r="D40" s="42" t="s">
        <v>122</v>
      </c>
      <c r="E40" s="71" t="s">
        <v>88</v>
      </c>
      <c r="F40" s="71">
        <v>37</v>
      </c>
      <c r="G40" s="104">
        <v>66.3175289403081</v>
      </c>
      <c r="H40" s="154">
        <f t="shared" si="0"/>
        <v>64.76927940543035</v>
      </c>
      <c r="I40" s="155">
        <f t="shared" si="1"/>
        <v>64.6231148466032</v>
      </c>
      <c r="J40" s="63">
        <v>61.284758540247914</v>
      </c>
      <c r="K40" s="63">
        <v>59.58923599999999</v>
      </c>
      <c r="L40" s="63">
        <v>64.154432</v>
      </c>
      <c r="M40" s="63">
        <v>66.36636200000001</v>
      </c>
      <c r="N40" s="63">
        <v>62.332592</v>
      </c>
      <c r="O40" s="63">
        <v>62.437014</v>
      </c>
      <c r="P40" s="86"/>
      <c r="Q40" s="103">
        <v>68.6678445262537</v>
      </c>
      <c r="R40" s="103">
        <v>52.1182068302583</v>
      </c>
      <c r="S40" s="103">
        <v>81.4369748486802</v>
      </c>
      <c r="T40" s="103">
        <v>50.3383969987001</v>
      </c>
      <c r="U40" s="103">
        <v>79.0262214976481</v>
      </c>
      <c r="V40" s="86"/>
      <c r="W40" s="158">
        <v>68.7861049733679</v>
      </c>
      <c r="X40" s="158">
        <v>54.9454418292147</v>
      </c>
      <c r="Y40" s="158">
        <v>78.8032926515993</v>
      </c>
      <c r="Z40" s="158">
        <v>45.244573865163</v>
      </c>
      <c r="AA40" s="158">
        <v>76.0669837078068</v>
      </c>
      <c r="AB40" s="159"/>
      <c r="AC40" s="158">
        <v>71.3235090537588</v>
      </c>
      <c r="AD40" s="158">
        <v>56.9830872953851</v>
      </c>
      <c r="AE40" s="158">
        <v>76.2915967128452</v>
      </c>
      <c r="AF40" s="158">
        <v>46.2207433328841</v>
      </c>
      <c r="AG40" s="158">
        <v>72.2966378381428</v>
      </c>
      <c r="AH40" s="9"/>
      <c r="AI40" s="63">
        <v>67.3260481534982</v>
      </c>
      <c r="AJ40" s="63">
        <v>53.9553380169365</v>
      </c>
      <c r="AK40" s="63">
        <v>76.836128581157</v>
      </c>
      <c r="AL40" s="63">
        <v>38.3183920050125</v>
      </c>
      <c r="AM40" s="63">
        <v>69.9878859446354</v>
      </c>
      <c r="AN40" s="9"/>
      <c r="AO40" s="50">
        <v>67.32483</v>
      </c>
      <c r="AP40" s="50">
        <v>53.01715</v>
      </c>
      <c r="AQ40" s="50">
        <v>76.25835</v>
      </c>
      <c r="AR40" s="50">
        <v>37.32011</v>
      </c>
      <c r="AS40" s="50">
        <v>64.02574</v>
      </c>
      <c r="AU40" s="50">
        <v>67.41871</v>
      </c>
      <c r="AV40" s="50">
        <v>59.09993</v>
      </c>
      <c r="AW40" s="50">
        <v>77.43893</v>
      </c>
      <c r="AX40" s="50">
        <v>43.20705</v>
      </c>
      <c r="AY40" s="50">
        <v>73.60754</v>
      </c>
      <c r="BA40" s="50">
        <v>70.86945</v>
      </c>
      <c r="BB40" s="50">
        <v>58.82002</v>
      </c>
      <c r="BC40" s="50">
        <v>77.47787</v>
      </c>
      <c r="BD40" s="50">
        <v>45.96337</v>
      </c>
      <c r="BE40" s="50">
        <v>78.7011</v>
      </c>
      <c r="BG40" s="50">
        <v>66.76686</v>
      </c>
      <c r="BH40" s="50">
        <v>56.05891</v>
      </c>
      <c r="BI40" s="50">
        <v>75.1612</v>
      </c>
      <c r="BJ40" s="50">
        <v>42.82487</v>
      </c>
      <c r="BK40" s="50">
        <v>70.85112</v>
      </c>
      <c r="BM40" s="50">
        <v>65.98579</v>
      </c>
      <c r="BN40" s="50">
        <v>54.15987</v>
      </c>
      <c r="BO40" s="50">
        <v>79.80151</v>
      </c>
      <c r="BP40" s="50">
        <v>40.13693</v>
      </c>
      <c r="BQ40" s="50">
        <v>72.10097</v>
      </c>
    </row>
    <row r="41" spans="1:69" ht="12.75">
      <c r="A41" s="2">
        <f>VLOOKUP(E41,'SHA cluster table data'!B39:C208,2,FALSE)</f>
        <v>36</v>
      </c>
      <c r="B41" s="2">
        <v>38</v>
      </c>
      <c r="C41" s="42" t="str">
        <f>VLOOKUP(E41,'SHA cluster table data'!$B$4:$G$171,6,FALSE)</f>
        <v>Q31</v>
      </c>
      <c r="D41" s="42" t="s">
        <v>123</v>
      </c>
      <c r="E41" s="71" t="s">
        <v>89</v>
      </c>
      <c r="F41" s="71">
        <v>38</v>
      </c>
      <c r="G41" s="104">
        <v>62.8344704630126</v>
      </c>
      <c r="H41" s="154">
        <f t="shared" si="0"/>
        <v>66.18523183151157</v>
      </c>
      <c r="I41" s="155">
        <f t="shared" si="1"/>
        <v>67.27511712856985</v>
      </c>
      <c r="J41" s="63">
        <v>66.50345104519245</v>
      </c>
      <c r="K41" s="63">
        <v>66.125198</v>
      </c>
      <c r="L41" s="63">
        <v>64.807602</v>
      </c>
      <c r="M41" s="63">
        <v>69.495874</v>
      </c>
      <c r="N41" s="63">
        <v>67.79660999999999</v>
      </c>
      <c r="O41" s="63">
        <v>68.27037800000001</v>
      </c>
      <c r="P41" s="86"/>
      <c r="Q41" s="103">
        <v>71.955101827908</v>
      </c>
      <c r="R41" s="103">
        <v>53.5519741347283</v>
      </c>
      <c r="S41" s="103">
        <v>83.8768867684964</v>
      </c>
      <c r="T41" s="103">
        <v>36.6173858611653</v>
      </c>
      <c r="U41" s="103">
        <v>68.1710037227649</v>
      </c>
      <c r="V41" s="86"/>
      <c r="W41" s="158">
        <v>71.0388582562423</v>
      </c>
      <c r="X41" s="158">
        <v>58.852123873629</v>
      </c>
      <c r="Y41" s="158">
        <v>82.2987079208945</v>
      </c>
      <c r="Z41" s="158">
        <v>44.6173778400994</v>
      </c>
      <c r="AA41" s="158">
        <v>74.1190912666927</v>
      </c>
      <c r="AB41" s="159"/>
      <c r="AC41" s="158">
        <v>72.313065311347</v>
      </c>
      <c r="AD41" s="158">
        <v>61.8443544631084</v>
      </c>
      <c r="AE41" s="158">
        <v>83.664561488359</v>
      </c>
      <c r="AF41" s="158">
        <v>44.4879692812221</v>
      </c>
      <c r="AG41" s="158">
        <v>74.0656350988127</v>
      </c>
      <c r="AH41" s="9"/>
      <c r="AI41" s="63">
        <v>73.7088689114982</v>
      </c>
      <c r="AJ41" s="63">
        <v>60.2281932909617</v>
      </c>
      <c r="AK41" s="63">
        <v>84.3050720969988</v>
      </c>
      <c r="AL41" s="63">
        <v>38.1461222240809</v>
      </c>
      <c r="AM41" s="63">
        <v>76.1289987024226</v>
      </c>
      <c r="AN41" s="9"/>
      <c r="AO41" s="50">
        <v>70.93054</v>
      </c>
      <c r="AP41" s="50">
        <v>61.79601</v>
      </c>
      <c r="AQ41" s="50">
        <v>82.03569</v>
      </c>
      <c r="AR41" s="50">
        <v>40.6074</v>
      </c>
      <c r="AS41" s="50">
        <v>75.25635</v>
      </c>
      <c r="AU41" s="50">
        <v>70.50978</v>
      </c>
      <c r="AV41" s="50">
        <v>59.28175</v>
      </c>
      <c r="AW41" s="50">
        <v>82.22536</v>
      </c>
      <c r="AX41" s="50">
        <v>39.60017</v>
      </c>
      <c r="AY41" s="50">
        <v>72.42095</v>
      </c>
      <c r="BA41" s="50">
        <v>75.33282</v>
      </c>
      <c r="BB41" s="50">
        <v>65.12341</v>
      </c>
      <c r="BC41" s="50">
        <v>83.17866</v>
      </c>
      <c r="BD41" s="50">
        <v>48.83138</v>
      </c>
      <c r="BE41" s="50">
        <v>75.0131</v>
      </c>
      <c r="BG41" s="50">
        <v>70.72237</v>
      </c>
      <c r="BH41" s="50">
        <v>60.46332</v>
      </c>
      <c r="BI41" s="50">
        <v>81.36889</v>
      </c>
      <c r="BJ41" s="50">
        <v>49.68618</v>
      </c>
      <c r="BK41" s="50">
        <v>76.74229</v>
      </c>
      <c r="BM41" s="50">
        <v>76.03893</v>
      </c>
      <c r="BN41" s="50">
        <v>60.0296</v>
      </c>
      <c r="BO41" s="50">
        <v>83.05177</v>
      </c>
      <c r="BP41" s="50">
        <v>48.58336</v>
      </c>
      <c r="BQ41" s="50">
        <v>73.64823</v>
      </c>
    </row>
    <row r="42" spans="1:69" ht="12.75">
      <c r="A42" s="2">
        <f>VLOOKUP(E42,'SHA cluster table data'!B40:C209,2,FALSE)</f>
        <v>37</v>
      </c>
      <c r="B42" s="2">
        <v>39</v>
      </c>
      <c r="C42" s="42" t="str">
        <f>VLOOKUP(E42,'SHA cluster table data'!$B$4:$G$171,6,FALSE)</f>
        <v>Q39</v>
      </c>
      <c r="D42" s="42" t="s">
        <v>60</v>
      </c>
      <c r="E42" s="71" t="s">
        <v>90</v>
      </c>
      <c r="F42" s="71">
        <v>39</v>
      </c>
      <c r="G42" s="104">
        <v>68.563951468097</v>
      </c>
      <c r="H42" s="154">
        <f t="shared" si="0"/>
        <v>65.60071264993891</v>
      </c>
      <c r="I42" s="155">
        <f t="shared" si="1"/>
        <v>66.0825702322833</v>
      </c>
      <c r="J42" s="63">
        <v>65.80189739374813</v>
      </c>
      <c r="K42" s="63">
        <v>65.297586</v>
      </c>
      <c r="L42" s="63">
        <v>64.39622</v>
      </c>
      <c r="M42" s="63">
        <v>65.057222</v>
      </c>
      <c r="N42" s="63">
        <v>64.109892</v>
      </c>
      <c r="O42" s="63">
        <v>68.03380999999999</v>
      </c>
      <c r="P42" s="86"/>
      <c r="Q42" s="103">
        <v>73.8186810211639</v>
      </c>
      <c r="R42" s="103">
        <v>57.8604841452791</v>
      </c>
      <c r="S42" s="103">
        <v>85.0515523582913</v>
      </c>
      <c r="T42" s="103">
        <v>46.4780985276248</v>
      </c>
      <c r="U42" s="103">
        <v>79.6109412881259</v>
      </c>
      <c r="V42" s="86"/>
      <c r="W42" s="158">
        <v>70.7132658283385</v>
      </c>
      <c r="X42" s="158">
        <v>58.2915325936373</v>
      </c>
      <c r="Y42" s="158">
        <v>79.3769372112781</v>
      </c>
      <c r="Z42" s="158">
        <v>44.7179794993594</v>
      </c>
      <c r="AA42" s="158">
        <v>74.9038481170813</v>
      </c>
      <c r="AB42" s="159"/>
      <c r="AC42" s="158">
        <v>68.5304678020729</v>
      </c>
      <c r="AD42" s="158">
        <v>56.8742306882898</v>
      </c>
      <c r="AE42" s="158">
        <v>80.5346614884113</v>
      </c>
      <c r="AF42" s="158">
        <v>46.2877220796647</v>
      </c>
      <c r="AG42" s="158">
        <v>78.1857691029778</v>
      </c>
      <c r="AH42" s="9"/>
      <c r="AI42" s="63">
        <v>68.3001432615155</v>
      </c>
      <c r="AJ42" s="63">
        <v>57.4003018271438</v>
      </c>
      <c r="AK42" s="63">
        <v>80.3413512349722</v>
      </c>
      <c r="AL42" s="63">
        <v>48.9399155503154</v>
      </c>
      <c r="AM42" s="63">
        <v>74.0277750947938</v>
      </c>
      <c r="AN42" s="9"/>
      <c r="AO42" s="50">
        <v>70.83371</v>
      </c>
      <c r="AP42" s="50">
        <v>54.04349</v>
      </c>
      <c r="AQ42" s="50">
        <v>81.5694</v>
      </c>
      <c r="AR42" s="50">
        <v>45.14811</v>
      </c>
      <c r="AS42" s="50">
        <v>74.89322</v>
      </c>
      <c r="AU42" s="50">
        <v>68.86678</v>
      </c>
      <c r="AV42" s="50">
        <v>57.76432</v>
      </c>
      <c r="AW42" s="50">
        <v>79.04112</v>
      </c>
      <c r="AX42" s="50">
        <v>44.19563</v>
      </c>
      <c r="AY42" s="50">
        <v>72.11325</v>
      </c>
      <c r="BA42" s="50">
        <v>67.42955</v>
      </c>
      <c r="BB42" s="50">
        <v>58.65252</v>
      </c>
      <c r="BC42" s="50">
        <v>78.3484</v>
      </c>
      <c r="BD42" s="50">
        <v>44.87159</v>
      </c>
      <c r="BE42" s="50">
        <v>75.98405</v>
      </c>
      <c r="BG42" s="50">
        <v>65.89463</v>
      </c>
      <c r="BH42" s="50">
        <v>55.25066</v>
      </c>
      <c r="BI42" s="50">
        <v>79.96103</v>
      </c>
      <c r="BJ42" s="50">
        <v>47.51618</v>
      </c>
      <c r="BK42" s="50">
        <v>71.92696</v>
      </c>
      <c r="BM42" s="50">
        <v>72.07753</v>
      </c>
      <c r="BN42" s="50">
        <v>62.45527</v>
      </c>
      <c r="BO42" s="50">
        <v>80.82533</v>
      </c>
      <c r="BP42" s="50">
        <v>51.55533</v>
      </c>
      <c r="BQ42" s="50">
        <v>73.25559</v>
      </c>
    </row>
    <row r="43" spans="1:69" ht="12.75">
      <c r="A43" s="2">
        <f>VLOOKUP(E43,'SHA cluster table data'!B41:C210,2,FALSE)</f>
        <v>38</v>
      </c>
      <c r="B43" s="1">
        <v>40</v>
      </c>
      <c r="C43" s="42" t="str">
        <f>VLOOKUP(E43,'SHA cluster table data'!$B$4:$G$171,6,FALSE)</f>
        <v>Q31</v>
      </c>
      <c r="D43" s="42" t="s">
        <v>431</v>
      </c>
      <c r="E43" s="71" t="s">
        <v>335</v>
      </c>
      <c r="F43" s="71">
        <v>40</v>
      </c>
      <c r="G43" s="104">
        <v>68.0120855831481</v>
      </c>
      <c r="H43" s="154">
        <f t="shared" si="0"/>
        <v>70.71026195742861</v>
      </c>
      <c r="I43" s="155">
        <f t="shared" si="1"/>
        <v>65.34248617971468</v>
      </c>
      <c r="J43" s="63">
        <v>68.02519467776807</v>
      </c>
      <c r="K43" s="63">
        <v>60.23449000000001</v>
      </c>
      <c r="L43" s="63">
        <v>63.980602</v>
      </c>
      <c r="M43" s="63">
        <v>64.54570799999999</v>
      </c>
      <c r="N43" s="63">
        <v>70.17297799999999</v>
      </c>
      <c r="O43" s="63">
        <v>64.182826</v>
      </c>
      <c r="P43" s="86"/>
      <c r="Q43" s="103">
        <v>72.179813734018</v>
      </c>
      <c r="R43" s="103">
        <v>56.9171845782036</v>
      </c>
      <c r="S43" s="103">
        <v>82.2893587605482</v>
      </c>
      <c r="T43" s="103">
        <v>50.1096822321382</v>
      </c>
      <c r="U43" s="103">
        <v>78.5643886108324</v>
      </c>
      <c r="V43" s="86"/>
      <c r="W43" s="158">
        <v>72.8955107862098</v>
      </c>
      <c r="X43" s="158">
        <v>63.3481813885035</v>
      </c>
      <c r="Y43" s="158">
        <v>85.7929499420689</v>
      </c>
      <c r="Z43" s="158">
        <v>48.3747541508412</v>
      </c>
      <c r="AA43" s="158">
        <v>83.1399135195197</v>
      </c>
      <c r="AB43" s="159"/>
      <c r="AC43" s="158">
        <v>69.8360591250694</v>
      </c>
      <c r="AD43" s="158">
        <v>56.0448620323507</v>
      </c>
      <c r="AE43" s="158">
        <v>79.7336433386853</v>
      </c>
      <c r="AF43" s="158">
        <v>44.4148029035795</v>
      </c>
      <c r="AG43" s="158">
        <v>76.6830634988885</v>
      </c>
      <c r="AH43" s="9"/>
      <c r="AI43" s="63">
        <v>71.4919351065539</v>
      </c>
      <c r="AJ43" s="63">
        <v>61.8880450943391</v>
      </c>
      <c r="AK43" s="63">
        <v>82.0938667888002</v>
      </c>
      <c r="AL43" s="63">
        <v>46.5202124278335</v>
      </c>
      <c r="AM43" s="63">
        <v>78.1319139713137</v>
      </c>
      <c r="AN43" s="9"/>
      <c r="AO43" s="50">
        <v>65.99006</v>
      </c>
      <c r="AP43" s="50">
        <v>51.68992</v>
      </c>
      <c r="AQ43" s="50">
        <v>75.01405</v>
      </c>
      <c r="AR43" s="50">
        <v>39.86</v>
      </c>
      <c r="AS43" s="50">
        <v>68.61842</v>
      </c>
      <c r="AU43" s="50">
        <v>67.79557</v>
      </c>
      <c r="AV43" s="50">
        <v>60.56448</v>
      </c>
      <c r="AW43" s="50">
        <v>76.4407</v>
      </c>
      <c r="AX43" s="50">
        <v>42.54945</v>
      </c>
      <c r="AY43" s="50">
        <v>72.55281</v>
      </c>
      <c r="BA43" s="50">
        <v>69.12518</v>
      </c>
      <c r="BB43" s="50">
        <v>59.34952</v>
      </c>
      <c r="BC43" s="50">
        <v>81.74515</v>
      </c>
      <c r="BD43" s="50">
        <v>38.01254</v>
      </c>
      <c r="BE43" s="50">
        <v>74.49615</v>
      </c>
      <c r="BG43" s="50">
        <v>71.62037</v>
      </c>
      <c r="BH43" s="50">
        <v>68.32446</v>
      </c>
      <c r="BI43" s="50">
        <v>80.80227</v>
      </c>
      <c r="BJ43" s="50">
        <v>51.5547</v>
      </c>
      <c r="BK43" s="50">
        <v>78.56309</v>
      </c>
      <c r="BM43" s="50">
        <v>66.58074</v>
      </c>
      <c r="BN43" s="50">
        <v>57.87284</v>
      </c>
      <c r="BO43" s="50">
        <v>75.76717</v>
      </c>
      <c r="BP43" s="50">
        <v>46.34704</v>
      </c>
      <c r="BQ43" s="50">
        <v>74.34634</v>
      </c>
    </row>
    <row r="44" spans="1:69" ht="12.75">
      <c r="A44" s="2">
        <f>VLOOKUP(E44,'SHA cluster table data'!B42:C211,2,FALSE)</f>
        <v>39</v>
      </c>
      <c r="B44" s="2">
        <v>41</v>
      </c>
      <c r="C44" s="42" t="str">
        <f>VLOOKUP(E44,'SHA cluster table data'!$B$4:$G$171,6,FALSE)</f>
        <v>Q39</v>
      </c>
      <c r="D44" s="42" t="s">
        <v>212</v>
      </c>
      <c r="E44" s="71" t="s">
        <v>327</v>
      </c>
      <c r="F44" s="71">
        <v>41</v>
      </c>
      <c r="G44" s="104">
        <v>67.6508998662315</v>
      </c>
      <c r="H44" s="154">
        <f t="shared" si="0"/>
        <v>64.77449557284832</v>
      </c>
      <c r="I44" s="155">
        <f t="shared" si="1"/>
        <v>65.03469347312627</v>
      </c>
      <c r="J44" s="63">
        <v>67.05095100313841</v>
      </c>
      <c r="K44" s="63">
        <v>64.229906</v>
      </c>
      <c r="L44" s="63">
        <v>62.221308</v>
      </c>
      <c r="M44" s="63">
        <v>68.099142</v>
      </c>
      <c r="N44" s="63">
        <v>68.389396</v>
      </c>
      <c r="O44" s="63">
        <v>63.162617999999995</v>
      </c>
      <c r="P44" s="86"/>
      <c r="Q44" s="103">
        <v>73.2501804269727</v>
      </c>
      <c r="R44" s="103">
        <v>61.2815047901758</v>
      </c>
      <c r="S44" s="103">
        <v>84.6112766472132</v>
      </c>
      <c r="T44" s="103">
        <v>43.3859983783231</v>
      </c>
      <c r="U44" s="103">
        <v>75.7255390884726</v>
      </c>
      <c r="V44" s="86"/>
      <c r="W44" s="158">
        <v>70.3629904538944</v>
      </c>
      <c r="X44" s="158">
        <v>57.424211137304</v>
      </c>
      <c r="Y44" s="158">
        <v>79.6672456468488</v>
      </c>
      <c r="Z44" s="158">
        <v>40.1009949228331</v>
      </c>
      <c r="AA44" s="158">
        <v>76.3170357033613</v>
      </c>
      <c r="AB44" s="159"/>
      <c r="AC44" s="158">
        <v>69.6407054476798</v>
      </c>
      <c r="AD44" s="158">
        <v>58.1603859832874</v>
      </c>
      <c r="AE44" s="158">
        <v>76.7278763219982</v>
      </c>
      <c r="AF44" s="158">
        <v>41.3052093591147</v>
      </c>
      <c r="AG44" s="158">
        <v>79.3392902535512</v>
      </c>
      <c r="AH44" s="9"/>
      <c r="AI44" s="63">
        <v>70.7757215075921</v>
      </c>
      <c r="AJ44" s="63">
        <v>62.3543510649581</v>
      </c>
      <c r="AK44" s="63">
        <v>79.9387668504684</v>
      </c>
      <c r="AL44" s="63">
        <v>45.7642641946019</v>
      </c>
      <c r="AM44" s="63">
        <v>76.4216513980715</v>
      </c>
      <c r="AN44" s="9"/>
      <c r="AO44" s="50">
        <v>68.87573</v>
      </c>
      <c r="AP44" s="50">
        <v>57.27586</v>
      </c>
      <c r="AQ44" s="50">
        <v>78.69117</v>
      </c>
      <c r="AR44" s="50">
        <v>41.43636</v>
      </c>
      <c r="AS44" s="50">
        <v>74.87041</v>
      </c>
      <c r="AU44" s="50">
        <v>69.20517</v>
      </c>
      <c r="AV44" s="50">
        <v>55.60273</v>
      </c>
      <c r="AW44" s="50">
        <v>76.3269</v>
      </c>
      <c r="AX44" s="50">
        <v>36.17132</v>
      </c>
      <c r="AY44" s="50">
        <v>73.80042</v>
      </c>
      <c r="BA44" s="50">
        <v>72.06032</v>
      </c>
      <c r="BB44" s="50">
        <v>66.39249</v>
      </c>
      <c r="BC44" s="50">
        <v>82.07156</v>
      </c>
      <c r="BD44" s="50">
        <v>44.14198</v>
      </c>
      <c r="BE44" s="50">
        <v>75.82936</v>
      </c>
      <c r="BG44" s="50">
        <v>73.75037</v>
      </c>
      <c r="BH44" s="50">
        <v>65.04178</v>
      </c>
      <c r="BI44" s="50">
        <v>82.20943</v>
      </c>
      <c r="BJ44" s="50">
        <v>42.21128</v>
      </c>
      <c r="BK44" s="50">
        <v>78.73412</v>
      </c>
      <c r="BM44" s="50">
        <v>68.3573</v>
      </c>
      <c r="BN44" s="50">
        <v>58.44727</v>
      </c>
      <c r="BO44" s="50">
        <v>73.64667</v>
      </c>
      <c r="BP44" s="50">
        <v>40.61039</v>
      </c>
      <c r="BQ44" s="50">
        <v>74.75146</v>
      </c>
    </row>
    <row r="45" spans="1:69" ht="12.75">
      <c r="A45" s="2">
        <f>VLOOKUP(E45,'SHA cluster table data'!B43:C212,2,FALSE)</f>
        <v>40</v>
      </c>
      <c r="B45" s="2">
        <v>42</v>
      </c>
      <c r="C45" s="42" t="str">
        <f>VLOOKUP(E45,'SHA cluster table data'!$B$4:$G$171,6,FALSE)</f>
        <v>Q36</v>
      </c>
      <c r="D45" s="42" t="s">
        <v>70</v>
      </c>
      <c r="E45" s="71" t="s">
        <v>406</v>
      </c>
      <c r="F45" s="71">
        <v>42</v>
      </c>
      <c r="G45" s="104">
        <v>67.4491113259296</v>
      </c>
      <c r="H45" s="154">
        <f t="shared" si="0"/>
        <v>63.67918065594072</v>
      </c>
      <c r="I45" s="155">
        <f t="shared" si="1"/>
        <v>60.40361358699371</v>
      </c>
      <c r="J45" s="63">
        <v>63.25841850860262</v>
      </c>
      <c r="K45" s="63">
        <v>61.116596</v>
      </c>
      <c r="L45" s="63">
        <v>57.532452</v>
      </c>
      <c r="M45" s="63">
        <v>60.777678</v>
      </c>
      <c r="N45" s="63">
        <v>64.57385400000001</v>
      </c>
      <c r="O45" s="63">
        <v>63.752621999999995</v>
      </c>
      <c r="P45" s="86"/>
      <c r="Q45" s="103">
        <v>71.342903810693</v>
      </c>
      <c r="R45" s="103">
        <v>59.0366603940562</v>
      </c>
      <c r="S45" s="103">
        <v>83.970910442598</v>
      </c>
      <c r="T45" s="103">
        <v>46.0032800819739</v>
      </c>
      <c r="U45" s="103">
        <v>76.8918019003267</v>
      </c>
      <c r="V45" s="86"/>
      <c r="W45" s="158">
        <v>66.4888175421057</v>
      </c>
      <c r="X45" s="158">
        <v>51.62321697406</v>
      </c>
      <c r="Y45" s="158">
        <v>82.398840831619</v>
      </c>
      <c r="Z45" s="158">
        <v>41.7386011486431</v>
      </c>
      <c r="AA45" s="158">
        <v>76.1464267832758</v>
      </c>
      <c r="AB45" s="159"/>
      <c r="AC45" s="158">
        <v>65.8343463226967</v>
      </c>
      <c r="AD45" s="158">
        <v>49.7460198525605</v>
      </c>
      <c r="AE45" s="158">
        <v>79.0993749332287</v>
      </c>
      <c r="AF45" s="158">
        <v>38.1213662015524</v>
      </c>
      <c r="AG45" s="158">
        <v>69.2169606249302</v>
      </c>
      <c r="AH45" s="9"/>
      <c r="AI45" s="63">
        <v>66.4844564928406</v>
      </c>
      <c r="AJ45" s="63">
        <v>53.1631248705475</v>
      </c>
      <c r="AK45" s="63">
        <v>80.1174088579587</v>
      </c>
      <c r="AL45" s="63">
        <v>47.0913901885725</v>
      </c>
      <c r="AM45" s="63">
        <v>69.4357121330938</v>
      </c>
      <c r="AN45" s="9"/>
      <c r="AO45" s="50">
        <v>66.50495</v>
      </c>
      <c r="AP45" s="50">
        <v>50.24352</v>
      </c>
      <c r="AQ45" s="50">
        <v>79.37768</v>
      </c>
      <c r="AR45" s="50">
        <v>38.91405</v>
      </c>
      <c r="AS45" s="50">
        <v>70.54278</v>
      </c>
      <c r="AU45" s="50">
        <v>64.87585</v>
      </c>
      <c r="AV45" s="50">
        <v>45.75742</v>
      </c>
      <c r="AW45" s="50">
        <v>76.69756</v>
      </c>
      <c r="AX45" s="50">
        <v>37.03907</v>
      </c>
      <c r="AY45" s="50">
        <v>63.29236</v>
      </c>
      <c r="BA45" s="50">
        <v>67.39388</v>
      </c>
      <c r="BB45" s="50">
        <v>56.10473</v>
      </c>
      <c r="BC45" s="50">
        <v>80.10612</v>
      </c>
      <c r="BD45" s="50">
        <v>30.50927</v>
      </c>
      <c r="BE45" s="50">
        <v>69.77439</v>
      </c>
      <c r="BG45" s="50">
        <v>71.27709</v>
      </c>
      <c r="BH45" s="50">
        <v>60.87569</v>
      </c>
      <c r="BI45" s="50">
        <v>80.80265</v>
      </c>
      <c r="BJ45" s="50">
        <v>41.92019</v>
      </c>
      <c r="BK45" s="50">
        <v>67.99365</v>
      </c>
      <c r="BM45" s="50">
        <v>70.26157</v>
      </c>
      <c r="BN45" s="50">
        <v>57.44822</v>
      </c>
      <c r="BO45" s="50">
        <v>80.25788</v>
      </c>
      <c r="BP45" s="50">
        <v>43.37573</v>
      </c>
      <c r="BQ45" s="50">
        <v>67.41971</v>
      </c>
    </row>
    <row r="46" spans="1:69" ht="12.75">
      <c r="A46" s="2">
        <f>VLOOKUP(E46,'SHA cluster table data'!B44:C213,2,FALSE)</f>
        <v>41</v>
      </c>
      <c r="B46" s="2">
        <v>43</v>
      </c>
      <c r="C46" s="42" t="str">
        <f>VLOOKUP(E46,'SHA cluster table data'!$B$4:$G$171,6,FALSE)</f>
        <v>Q39</v>
      </c>
      <c r="D46" s="42" t="s">
        <v>37</v>
      </c>
      <c r="E46" s="71" t="s">
        <v>371</v>
      </c>
      <c r="F46" s="71">
        <v>43</v>
      </c>
      <c r="G46" s="104">
        <v>70.1233339380658</v>
      </c>
      <c r="H46" s="154">
        <f t="shared" si="0"/>
        <v>68.90779258940672</v>
      </c>
      <c r="I46" s="155">
        <f t="shared" si="1"/>
        <v>68.61069262647139</v>
      </c>
      <c r="J46" s="63">
        <v>68.98016695269595</v>
      </c>
      <c r="K46" s="63">
        <v>67.960032</v>
      </c>
      <c r="L46" s="63">
        <v>64.337504</v>
      </c>
      <c r="M46" s="63">
        <v>67.20754</v>
      </c>
      <c r="N46" s="63">
        <v>66.64657000000001</v>
      </c>
      <c r="O46" s="63">
        <v>65.07780199999999</v>
      </c>
      <c r="P46" s="86"/>
      <c r="Q46" s="103">
        <v>76.4797487259146</v>
      </c>
      <c r="R46" s="103">
        <v>55.8893997873558</v>
      </c>
      <c r="S46" s="103">
        <v>83.4696266668256</v>
      </c>
      <c r="T46" s="103">
        <v>50.1718437801944</v>
      </c>
      <c r="U46" s="103">
        <v>84.6060507300387</v>
      </c>
      <c r="V46" s="86"/>
      <c r="W46" s="158">
        <v>74.8309469775932</v>
      </c>
      <c r="X46" s="158">
        <v>57.9648162252037</v>
      </c>
      <c r="Y46" s="158">
        <v>82.8464532612431</v>
      </c>
      <c r="Z46" s="158">
        <v>48.2387512069888</v>
      </c>
      <c r="AA46" s="158">
        <v>80.6579952760048</v>
      </c>
      <c r="AB46" s="159"/>
      <c r="AC46" s="158">
        <v>69.9793368759144</v>
      </c>
      <c r="AD46" s="158">
        <v>60.2499906164635</v>
      </c>
      <c r="AE46" s="158">
        <v>81.4342954698553</v>
      </c>
      <c r="AF46" s="158">
        <v>51.1452307071693</v>
      </c>
      <c r="AG46" s="158">
        <v>80.2446094629545</v>
      </c>
      <c r="AH46" s="9"/>
      <c r="AI46" s="63">
        <v>74.0118967749343</v>
      </c>
      <c r="AJ46" s="63">
        <v>59.8712706936893</v>
      </c>
      <c r="AK46" s="63">
        <v>81.1247721483161</v>
      </c>
      <c r="AL46" s="63">
        <v>50.42005877177</v>
      </c>
      <c r="AM46" s="63">
        <v>79.4728363747701</v>
      </c>
      <c r="AN46" s="9"/>
      <c r="AO46" s="50">
        <v>74.44405</v>
      </c>
      <c r="AP46" s="50">
        <v>58.79483</v>
      </c>
      <c r="AQ46" s="50">
        <v>82.06887</v>
      </c>
      <c r="AR46" s="50">
        <v>48.65287</v>
      </c>
      <c r="AS46" s="50">
        <v>75.83954</v>
      </c>
      <c r="AU46" s="50">
        <v>68.72977</v>
      </c>
      <c r="AV46" s="50">
        <v>58.97481</v>
      </c>
      <c r="AW46" s="50">
        <v>78.95096</v>
      </c>
      <c r="AX46" s="50">
        <v>44.49371</v>
      </c>
      <c r="AY46" s="50">
        <v>70.53827</v>
      </c>
      <c r="BA46" s="50">
        <v>73.04102</v>
      </c>
      <c r="BB46" s="50">
        <v>62.29992</v>
      </c>
      <c r="BC46" s="50">
        <v>83.54845</v>
      </c>
      <c r="BD46" s="50">
        <v>42.99739</v>
      </c>
      <c r="BE46" s="50">
        <v>74.15092</v>
      </c>
      <c r="BG46" s="50">
        <v>70.57095</v>
      </c>
      <c r="BH46" s="50">
        <v>62.65289</v>
      </c>
      <c r="BI46" s="50">
        <v>81.3713</v>
      </c>
      <c r="BJ46" s="50">
        <v>46.07807</v>
      </c>
      <c r="BK46" s="50">
        <v>72.55964</v>
      </c>
      <c r="BM46" s="50">
        <v>71.09076</v>
      </c>
      <c r="BN46" s="50">
        <v>60.06827</v>
      </c>
      <c r="BO46" s="50">
        <v>80.53416</v>
      </c>
      <c r="BP46" s="50">
        <v>40.34552</v>
      </c>
      <c r="BQ46" s="50">
        <v>73.3503</v>
      </c>
    </row>
    <row r="47" spans="1:69" ht="12.75">
      <c r="A47" s="2">
        <f>VLOOKUP(E47,'SHA cluster table data'!B45:C214,2,FALSE)</f>
        <v>42</v>
      </c>
      <c r="B47" s="1">
        <v>44</v>
      </c>
      <c r="C47" s="42" t="str">
        <f>VLOOKUP(E47,'SHA cluster table data'!$B$4:$G$171,6,FALSE)</f>
        <v>Q31</v>
      </c>
      <c r="D47" s="42" t="s">
        <v>34</v>
      </c>
      <c r="E47" s="71" t="s">
        <v>367</v>
      </c>
      <c r="F47" s="71">
        <v>44</v>
      </c>
      <c r="G47" s="104">
        <v>70.3184807566351</v>
      </c>
      <c r="H47" s="154">
        <f t="shared" si="0"/>
        <v>71.27111787144985</v>
      </c>
      <c r="I47" s="155">
        <f t="shared" si="1"/>
        <v>71.41180403046704</v>
      </c>
      <c r="J47" s="63">
        <v>73.97337245536067</v>
      </c>
      <c r="K47" s="63">
        <v>73.177072</v>
      </c>
      <c r="L47" s="63">
        <v>65.699286</v>
      </c>
      <c r="M47" s="63">
        <v>66.99368</v>
      </c>
      <c r="N47" s="63">
        <v>70.986968</v>
      </c>
      <c r="O47" s="63">
        <v>71.09120599999999</v>
      </c>
      <c r="P47" s="86"/>
      <c r="Q47" s="103">
        <v>75.53976890848</v>
      </c>
      <c r="R47" s="103">
        <v>60.37159957495</v>
      </c>
      <c r="S47" s="103">
        <v>84.8701737335976</v>
      </c>
      <c r="T47" s="103">
        <v>52.0307014150376</v>
      </c>
      <c r="U47" s="103">
        <v>78.7801601511104</v>
      </c>
      <c r="V47" s="86"/>
      <c r="W47" s="158">
        <v>73.5931152748016</v>
      </c>
      <c r="X47" s="158">
        <v>66.1044429737803</v>
      </c>
      <c r="Y47" s="158">
        <v>85.321014736858</v>
      </c>
      <c r="Z47" s="158">
        <v>54.6263269011665</v>
      </c>
      <c r="AA47" s="158">
        <v>76.7106894706428</v>
      </c>
      <c r="AB47" s="159"/>
      <c r="AC47" s="158">
        <v>71.4311277505265</v>
      </c>
      <c r="AD47" s="158">
        <v>63.6681776708314</v>
      </c>
      <c r="AE47" s="158">
        <v>86.2068182680348</v>
      </c>
      <c r="AF47" s="158">
        <v>54.4600889752858</v>
      </c>
      <c r="AG47" s="158">
        <v>81.2928074876567</v>
      </c>
      <c r="AH47" s="9"/>
      <c r="AI47" s="63">
        <v>76.4763473608926</v>
      </c>
      <c r="AJ47" s="63">
        <v>68.1933533750465</v>
      </c>
      <c r="AK47" s="63">
        <v>85.3903062120088</v>
      </c>
      <c r="AL47" s="63">
        <v>59.6677698539441</v>
      </c>
      <c r="AM47" s="63">
        <v>80.1390854749114</v>
      </c>
      <c r="AN47" s="9"/>
      <c r="AO47" s="50">
        <v>72.1024</v>
      </c>
      <c r="AP47" s="50">
        <v>68.70304</v>
      </c>
      <c r="AQ47" s="50">
        <v>87.24805</v>
      </c>
      <c r="AR47" s="50">
        <v>58.12987</v>
      </c>
      <c r="AS47" s="50">
        <v>79.702</v>
      </c>
      <c r="AU47" s="50">
        <v>71.12547</v>
      </c>
      <c r="AV47" s="50">
        <v>59.60237</v>
      </c>
      <c r="AW47" s="50">
        <v>81.94775</v>
      </c>
      <c r="AX47" s="50">
        <v>41.27546</v>
      </c>
      <c r="AY47" s="50">
        <v>74.54538</v>
      </c>
      <c r="BA47" s="50">
        <v>69.36486</v>
      </c>
      <c r="BB47" s="50">
        <v>60.46326</v>
      </c>
      <c r="BC47" s="50">
        <v>81.09978</v>
      </c>
      <c r="BD47" s="50">
        <v>47.92178</v>
      </c>
      <c r="BE47" s="50">
        <v>76.11872</v>
      </c>
      <c r="BG47" s="50">
        <v>74.48695</v>
      </c>
      <c r="BH47" s="50">
        <v>62.36972</v>
      </c>
      <c r="BI47" s="50">
        <v>81.87853</v>
      </c>
      <c r="BJ47" s="50">
        <v>58.30608</v>
      </c>
      <c r="BK47" s="50">
        <v>77.89356</v>
      </c>
      <c r="BM47" s="50">
        <v>71.35583</v>
      </c>
      <c r="BN47" s="50">
        <v>61.8829</v>
      </c>
      <c r="BO47" s="50">
        <v>82.6261</v>
      </c>
      <c r="BP47" s="50">
        <v>55.75719</v>
      </c>
      <c r="BQ47" s="50">
        <v>83.83401</v>
      </c>
    </row>
    <row r="48" spans="1:69" ht="12.75">
      <c r="A48" s="2">
        <f>VLOOKUP(E48,'SHA cluster table data'!B46:C215,2,FALSE)</f>
        <v>43</v>
      </c>
      <c r="B48" s="2">
        <v>45</v>
      </c>
      <c r="C48" s="42" t="str">
        <f>VLOOKUP(E48,'SHA cluster table data'!$B$4:$G$171,6,FALSE)</f>
        <v>Q34</v>
      </c>
      <c r="D48" s="42" t="s">
        <v>124</v>
      </c>
      <c r="E48" s="71" t="s">
        <v>93</v>
      </c>
      <c r="F48" s="71">
        <v>45</v>
      </c>
      <c r="G48" s="104">
        <v>63.1399161965903</v>
      </c>
      <c r="H48" s="154">
        <f t="shared" si="0"/>
        <v>64.10597183338187</v>
      </c>
      <c r="I48" s="155">
        <f t="shared" si="1"/>
        <v>64.50568191143006</v>
      </c>
      <c r="J48" s="63">
        <v>62.062538327413485</v>
      </c>
      <c r="K48" s="63">
        <v>63.597288000000006</v>
      </c>
      <c r="L48" s="63">
        <v>61.630524</v>
      </c>
      <c r="M48" s="63">
        <v>64.05782400000001</v>
      </c>
      <c r="N48" s="63">
        <v>66.223688</v>
      </c>
      <c r="O48" s="63">
        <v>67.90539800000002</v>
      </c>
      <c r="P48" s="86"/>
      <c r="Q48" s="103">
        <v>67.7962100604866</v>
      </c>
      <c r="R48" s="103">
        <v>53.4161010201153</v>
      </c>
      <c r="S48" s="103">
        <v>81.0523805602062</v>
      </c>
      <c r="T48" s="103">
        <v>36.6878374490518</v>
      </c>
      <c r="U48" s="103">
        <v>76.7470518930917</v>
      </c>
      <c r="V48" s="86"/>
      <c r="W48" s="158">
        <v>66.8165254475052</v>
      </c>
      <c r="X48" s="158">
        <v>54.3629069747369</v>
      </c>
      <c r="Y48" s="158">
        <v>78.418718408286</v>
      </c>
      <c r="Z48" s="158">
        <v>42.9929246661903</v>
      </c>
      <c r="AA48" s="158">
        <v>77.938783670191</v>
      </c>
      <c r="AB48" s="159"/>
      <c r="AC48" s="158">
        <v>64.4785255403969</v>
      </c>
      <c r="AD48" s="158">
        <v>59.7475706122747</v>
      </c>
      <c r="AE48" s="158">
        <v>79.104951089543</v>
      </c>
      <c r="AF48" s="158">
        <v>42.6002975688863</v>
      </c>
      <c r="AG48" s="158">
        <v>76.5970647460494</v>
      </c>
      <c r="AH48" s="9"/>
      <c r="AI48" s="63">
        <v>63.364356975949</v>
      </c>
      <c r="AJ48" s="63">
        <v>56.5276256317699</v>
      </c>
      <c r="AK48" s="63">
        <v>77.521776194774</v>
      </c>
      <c r="AL48" s="63">
        <v>36.8870919725989</v>
      </c>
      <c r="AM48" s="63">
        <v>76.0118408619756</v>
      </c>
      <c r="AN48" s="9"/>
      <c r="AO48" s="50">
        <v>66.07571</v>
      </c>
      <c r="AP48" s="50">
        <v>55.7493</v>
      </c>
      <c r="AQ48" s="50">
        <v>78.66467</v>
      </c>
      <c r="AR48" s="50">
        <v>39.45831</v>
      </c>
      <c r="AS48" s="50">
        <v>78.03845</v>
      </c>
      <c r="AU48" s="50">
        <v>62.04824</v>
      </c>
      <c r="AV48" s="50">
        <v>51.1068</v>
      </c>
      <c r="AW48" s="50">
        <v>75.80196</v>
      </c>
      <c r="AX48" s="50">
        <v>39.87358</v>
      </c>
      <c r="AY48" s="50">
        <v>79.32204</v>
      </c>
      <c r="BA48" s="50">
        <v>66.64583</v>
      </c>
      <c r="BB48" s="50">
        <v>55.16688</v>
      </c>
      <c r="BC48" s="50">
        <v>77.80807</v>
      </c>
      <c r="BD48" s="50">
        <v>41.02089</v>
      </c>
      <c r="BE48" s="50">
        <v>79.64745</v>
      </c>
      <c r="BG48" s="50">
        <v>67.5634</v>
      </c>
      <c r="BH48" s="50">
        <v>55.87606</v>
      </c>
      <c r="BI48" s="50">
        <v>78.89243</v>
      </c>
      <c r="BJ48" s="50">
        <v>47.97626</v>
      </c>
      <c r="BK48" s="50">
        <v>80.81029</v>
      </c>
      <c r="BM48" s="50">
        <v>69.13559</v>
      </c>
      <c r="BN48" s="50">
        <v>59.32462</v>
      </c>
      <c r="BO48" s="50">
        <v>80.00507</v>
      </c>
      <c r="BP48" s="50">
        <v>48.15034</v>
      </c>
      <c r="BQ48" s="50">
        <v>82.91137</v>
      </c>
    </row>
    <row r="49" spans="1:69" ht="12.75">
      <c r="A49" s="2">
        <f>VLOOKUP(E49,'SHA cluster table data'!B47:C216,2,FALSE)</f>
        <v>44</v>
      </c>
      <c r="B49" s="2">
        <v>46</v>
      </c>
      <c r="C49" s="42" t="str">
        <f>VLOOKUP(E49,'SHA cluster table data'!$B$4:$G$171,6,FALSE)</f>
        <v>Q39</v>
      </c>
      <c r="D49" s="42" t="s">
        <v>243</v>
      </c>
      <c r="E49" s="71" t="s">
        <v>333</v>
      </c>
      <c r="F49" s="71">
        <v>46</v>
      </c>
      <c r="G49" s="104">
        <v>68.0190679427106</v>
      </c>
      <c r="H49" s="154">
        <f t="shared" si="0"/>
        <v>66.19985665645342</v>
      </c>
      <c r="I49" s="155">
        <f t="shared" si="1"/>
        <v>62.46442585256792</v>
      </c>
      <c r="J49" s="63">
        <v>66.48164991203325</v>
      </c>
      <c r="K49" s="63">
        <v>64.74850599999999</v>
      </c>
      <c r="L49" s="63">
        <v>62.06646800000001</v>
      </c>
      <c r="M49" s="63">
        <v>65.672826</v>
      </c>
      <c r="N49" s="63">
        <v>67.05575</v>
      </c>
      <c r="O49" s="63">
        <v>68.485932</v>
      </c>
      <c r="P49" s="86"/>
      <c r="Q49" s="103">
        <v>72.951903829534</v>
      </c>
      <c r="R49" s="103">
        <v>60.6788416252719</v>
      </c>
      <c r="S49" s="103">
        <v>83.6048551598904</v>
      </c>
      <c r="T49" s="103">
        <v>48.1648872035648</v>
      </c>
      <c r="U49" s="103">
        <v>74.6948518952921</v>
      </c>
      <c r="V49" s="86"/>
      <c r="W49" s="158">
        <v>71.4962079186785</v>
      </c>
      <c r="X49" s="158">
        <v>58.3627718565974</v>
      </c>
      <c r="Y49" s="158">
        <v>82.5740943009966</v>
      </c>
      <c r="Z49" s="158">
        <v>43.7058146561234</v>
      </c>
      <c r="AA49" s="158">
        <v>74.8603945498713</v>
      </c>
      <c r="AB49" s="159"/>
      <c r="AC49" s="158">
        <v>67.7744706501639</v>
      </c>
      <c r="AD49" s="158">
        <v>52.7724411857255</v>
      </c>
      <c r="AE49" s="158">
        <v>79.079993621505</v>
      </c>
      <c r="AF49" s="158">
        <v>43.9778104981991</v>
      </c>
      <c r="AG49" s="158">
        <v>68.7174133072461</v>
      </c>
      <c r="AH49" s="9"/>
      <c r="AI49" s="63">
        <v>72.7405663471022</v>
      </c>
      <c r="AJ49" s="63">
        <v>58.4640641761592</v>
      </c>
      <c r="AK49" s="63">
        <v>81.9443185606079</v>
      </c>
      <c r="AL49" s="63">
        <v>46.3067930410348</v>
      </c>
      <c r="AM49" s="63">
        <v>72.9525074352622</v>
      </c>
      <c r="AN49" s="9"/>
      <c r="AO49" s="50">
        <v>66.96712</v>
      </c>
      <c r="AP49" s="50">
        <v>56.8011</v>
      </c>
      <c r="AQ49" s="50">
        <v>81.77567</v>
      </c>
      <c r="AR49" s="50">
        <v>46.34615</v>
      </c>
      <c r="AS49" s="50">
        <v>71.85249</v>
      </c>
      <c r="AU49" s="50">
        <v>68.57248</v>
      </c>
      <c r="AV49" s="50">
        <v>53.84594</v>
      </c>
      <c r="AW49" s="50">
        <v>79.30226</v>
      </c>
      <c r="AX49" s="50">
        <v>40.73684</v>
      </c>
      <c r="AY49" s="50">
        <v>67.87482</v>
      </c>
      <c r="BA49" s="50">
        <v>69.87781</v>
      </c>
      <c r="BB49" s="50">
        <v>59.45988</v>
      </c>
      <c r="BC49" s="50">
        <v>78.32324</v>
      </c>
      <c r="BD49" s="50">
        <v>47.21821</v>
      </c>
      <c r="BE49" s="50">
        <v>73.48499</v>
      </c>
      <c r="BG49" s="50">
        <v>70.95561</v>
      </c>
      <c r="BH49" s="50">
        <v>61.46507</v>
      </c>
      <c r="BI49" s="50">
        <v>83.39395</v>
      </c>
      <c r="BJ49" s="50">
        <v>44.89982</v>
      </c>
      <c r="BK49" s="50">
        <v>74.5643</v>
      </c>
      <c r="BM49" s="50">
        <v>72.71252</v>
      </c>
      <c r="BN49" s="50">
        <v>63.28569</v>
      </c>
      <c r="BO49" s="50">
        <v>82.21299</v>
      </c>
      <c r="BP49" s="50">
        <v>49.85609</v>
      </c>
      <c r="BQ49" s="50">
        <v>74.36237</v>
      </c>
    </row>
    <row r="50" spans="1:69" ht="12.75">
      <c r="A50" s="2">
        <f>VLOOKUP(E50,'SHA cluster table data'!B48:C217,2,FALSE)</f>
        <v>45</v>
      </c>
      <c r="B50" s="2">
        <v>47</v>
      </c>
      <c r="C50" s="42" t="str">
        <f>VLOOKUP(E50,'SHA cluster table data'!$B$4:$G$171,6,FALSE)</f>
        <v>Q39</v>
      </c>
      <c r="D50" s="42" t="s">
        <v>248</v>
      </c>
      <c r="E50" s="71" t="s">
        <v>338</v>
      </c>
      <c r="F50" s="71">
        <v>47</v>
      </c>
      <c r="G50" s="104">
        <v>67.3140800056003</v>
      </c>
      <c r="H50" s="154">
        <f t="shared" si="0"/>
        <v>66.84864734961684</v>
      </c>
      <c r="I50" s="155">
        <f t="shared" si="1"/>
        <v>66.16431325104155</v>
      </c>
      <c r="J50" s="63">
        <v>66.89715998182278</v>
      </c>
      <c r="K50" s="63">
        <v>66.592042</v>
      </c>
      <c r="L50" s="63">
        <v>63.31457</v>
      </c>
      <c r="M50" s="63">
        <v>66.59261599999999</v>
      </c>
      <c r="N50" s="63">
        <v>69.25517399999998</v>
      </c>
      <c r="O50" s="63">
        <v>66.32658799999999</v>
      </c>
      <c r="P50" s="86"/>
      <c r="Q50" s="103">
        <v>71.0215884325045</v>
      </c>
      <c r="R50" s="103">
        <v>56.6566105809508</v>
      </c>
      <c r="S50" s="103">
        <v>85.1492009411942</v>
      </c>
      <c r="T50" s="103">
        <v>45.9397956112554</v>
      </c>
      <c r="U50" s="103">
        <v>77.8032044620968</v>
      </c>
      <c r="V50" s="86"/>
      <c r="W50" s="158">
        <v>69.3367852325982</v>
      </c>
      <c r="X50" s="158">
        <v>58.4059532162644</v>
      </c>
      <c r="Y50" s="158">
        <v>81.6617802452433</v>
      </c>
      <c r="Z50" s="158">
        <v>48.3899450518698</v>
      </c>
      <c r="AA50" s="158">
        <v>76.4487730021085</v>
      </c>
      <c r="AB50" s="159"/>
      <c r="AC50" s="158">
        <v>71.3715902279781</v>
      </c>
      <c r="AD50" s="158">
        <v>61.996979859007</v>
      </c>
      <c r="AE50" s="158">
        <v>82.027838609603</v>
      </c>
      <c r="AF50" s="158">
        <v>42.786838643636</v>
      </c>
      <c r="AG50" s="158">
        <v>72.6383189149837</v>
      </c>
      <c r="AH50" s="9"/>
      <c r="AI50" s="63">
        <v>70.1607921496915</v>
      </c>
      <c r="AJ50" s="63">
        <v>60.8227905939526</v>
      </c>
      <c r="AK50" s="63">
        <v>84.2152686366575</v>
      </c>
      <c r="AL50" s="63">
        <v>45.6054088758571</v>
      </c>
      <c r="AM50" s="63">
        <v>73.6815396529552</v>
      </c>
      <c r="AN50" s="9"/>
      <c r="AO50" s="50">
        <v>71.61135</v>
      </c>
      <c r="AP50" s="50">
        <v>57.60815</v>
      </c>
      <c r="AQ50" s="50">
        <v>83.13478</v>
      </c>
      <c r="AR50" s="50">
        <v>46.48746</v>
      </c>
      <c r="AS50" s="50">
        <v>74.11847</v>
      </c>
      <c r="AU50" s="50">
        <v>68.1054</v>
      </c>
      <c r="AV50" s="50">
        <v>53.46221</v>
      </c>
      <c r="AW50" s="50">
        <v>78.33708</v>
      </c>
      <c r="AX50" s="50">
        <v>39.45185</v>
      </c>
      <c r="AY50" s="50">
        <v>77.21631</v>
      </c>
      <c r="BA50" s="50">
        <v>68.90167</v>
      </c>
      <c r="BB50" s="50">
        <v>56.31452</v>
      </c>
      <c r="BC50" s="50">
        <v>82.79317</v>
      </c>
      <c r="BD50" s="50">
        <v>45.96733</v>
      </c>
      <c r="BE50" s="50">
        <v>78.98639</v>
      </c>
      <c r="BG50" s="50">
        <v>70.72776</v>
      </c>
      <c r="BH50" s="50">
        <v>62.91118</v>
      </c>
      <c r="BI50" s="50">
        <v>84.48197</v>
      </c>
      <c r="BJ50" s="50">
        <v>46.86353</v>
      </c>
      <c r="BK50" s="50">
        <v>81.29143</v>
      </c>
      <c r="BM50" s="50">
        <v>66.43464</v>
      </c>
      <c r="BN50" s="50">
        <v>57.74807</v>
      </c>
      <c r="BO50" s="50">
        <v>79.65369</v>
      </c>
      <c r="BP50" s="50">
        <v>49.28169</v>
      </c>
      <c r="BQ50" s="50">
        <v>78.51485</v>
      </c>
    </row>
    <row r="51" spans="1:69" ht="12.75">
      <c r="A51" s="2">
        <f>VLOOKUP(E51,'SHA cluster table data'!B49:C218,2,FALSE)</f>
        <v>46</v>
      </c>
      <c r="B51" s="1">
        <v>48</v>
      </c>
      <c r="C51" s="42" t="str">
        <f>VLOOKUP(E51,'SHA cluster table data'!$B$4:$G$171,6,FALSE)</f>
        <v>Q36</v>
      </c>
      <c r="D51" s="42" t="s">
        <v>31</v>
      </c>
      <c r="E51" s="71" t="s">
        <v>350</v>
      </c>
      <c r="F51" s="71">
        <v>48</v>
      </c>
      <c r="G51" s="104">
        <v>71.4037124963126</v>
      </c>
      <c r="H51" s="154">
        <f t="shared" si="0"/>
        <v>69.68807589884598</v>
      </c>
      <c r="I51" s="155">
        <f t="shared" si="1"/>
        <v>65.45091632293085</v>
      </c>
      <c r="J51" s="63">
        <v>66.2623436309601</v>
      </c>
      <c r="K51" s="63">
        <v>67.60055200000001</v>
      </c>
      <c r="L51" s="63">
        <v>67.52924399999999</v>
      </c>
      <c r="M51" s="63">
        <v>68.07775999999998</v>
      </c>
      <c r="N51" s="63">
        <v>72.97632999999999</v>
      </c>
      <c r="O51" s="63">
        <v>65.709792</v>
      </c>
      <c r="P51" s="86"/>
      <c r="Q51" s="103">
        <v>76.6561719260684</v>
      </c>
      <c r="R51" s="103">
        <v>63.6173137582949</v>
      </c>
      <c r="S51" s="103">
        <v>85.0987455333122</v>
      </c>
      <c r="T51" s="103">
        <v>53.6064852147176</v>
      </c>
      <c r="U51" s="103">
        <v>78.0398460491697</v>
      </c>
      <c r="V51" s="86"/>
      <c r="W51" s="158">
        <v>71.3619321324891</v>
      </c>
      <c r="X51" s="158">
        <v>62.0098372665299</v>
      </c>
      <c r="Y51" s="158">
        <v>84.7132757900996</v>
      </c>
      <c r="Z51" s="158">
        <v>49.1708881076753</v>
      </c>
      <c r="AA51" s="158">
        <v>81.184446197436</v>
      </c>
      <c r="AB51" s="159"/>
      <c r="AC51" s="158">
        <v>70.1739953434196</v>
      </c>
      <c r="AD51" s="158">
        <v>56.8966899610668</v>
      </c>
      <c r="AE51" s="158">
        <v>81.0837324669342</v>
      </c>
      <c r="AF51" s="158">
        <v>45.1092807513034</v>
      </c>
      <c r="AG51" s="158">
        <v>73.9908830919303</v>
      </c>
      <c r="AH51" s="9"/>
      <c r="AI51" s="63">
        <v>73.6551788301174</v>
      </c>
      <c r="AJ51" s="63">
        <v>58.9809934606042</v>
      </c>
      <c r="AK51" s="63">
        <v>81.2520425746561</v>
      </c>
      <c r="AL51" s="63">
        <v>46.9158954978875</v>
      </c>
      <c r="AM51" s="63">
        <v>70.5076077915353</v>
      </c>
      <c r="AN51" s="9"/>
      <c r="AO51" s="50">
        <v>72.07365</v>
      </c>
      <c r="AP51" s="50">
        <v>59.0481</v>
      </c>
      <c r="AQ51" s="50">
        <v>82.83765</v>
      </c>
      <c r="AR51" s="50">
        <v>47.24728</v>
      </c>
      <c r="AS51" s="50">
        <v>76.79608</v>
      </c>
      <c r="AU51" s="50">
        <v>72.60294</v>
      </c>
      <c r="AV51" s="50">
        <v>57.41452</v>
      </c>
      <c r="AW51" s="50">
        <v>83.30119</v>
      </c>
      <c r="AX51" s="50">
        <v>49.62786</v>
      </c>
      <c r="AY51" s="50">
        <v>74.69971</v>
      </c>
      <c r="BA51" s="50">
        <v>72.20602</v>
      </c>
      <c r="BB51" s="50">
        <v>59.83397</v>
      </c>
      <c r="BC51" s="50">
        <v>81.79556</v>
      </c>
      <c r="BD51" s="50">
        <v>52.29822</v>
      </c>
      <c r="BE51" s="50">
        <v>74.25503</v>
      </c>
      <c r="BG51" s="50">
        <v>76.17468</v>
      </c>
      <c r="BH51" s="50">
        <v>64.87081</v>
      </c>
      <c r="BI51" s="50">
        <v>84.93023</v>
      </c>
      <c r="BJ51" s="50">
        <v>57.84683</v>
      </c>
      <c r="BK51" s="50">
        <v>81.0591</v>
      </c>
      <c r="BM51" s="50">
        <v>67.75104</v>
      </c>
      <c r="BN51" s="50">
        <v>64.62128</v>
      </c>
      <c r="BO51" s="50">
        <v>79.93075</v>
      </c>
      <c r="BP51" s="50">
        <v>46.01498</v>
      </c>
      <c r="BQ51" s="50">
        <v>70.23091</v>
      </c>
    </row>
    <row r="52" spans="1:69" ht="12.75">
      <c r="A52" s="2">
        <f>VLOOKUP(E52,'SHA cluster table data'!B50:C219,2,FALSE)</f>
        <v>47</v>
      </c>
      <c r="B52" s="2">
        <v>49</v>
      </c>
      <c r="C52" s="42" t="str">
        <f>VLOOKUP(E52,'SHA cluster table data'!$B$4:$G$171,6,FALSE)</f>
        <v>Q31</v>
      </c>
      <c r="D52" s="42" t="s">
        <v>21</v>
      </c>
      <c r="E52" s="71" t="s">
        <v>264</v>
      </c>
      <c r="F52" s="71">
        <v>49</v>
      </c>
      <c r="G52" s="104">
        <v>71.7664984545867</v>
      </c>
      <c r="H52" s="154">
        <f t="shared" si="0"/>
        <v>72.33233500819837</v>
      </c>
      <c r="I52" s="155">
        <f t="shared" si="1"/>
        <v>69.215966343578</v>
      </c>
      <c r="J52" s="63">
        <v>67.56479156511023</v>
      </c>
      <c r="K52" s="63">
        <v>70.78459000000001</v>
      </c>
      <c r="L52" s="63">
        <v>69.36348000000001</v>
      </c>
      <c r="M52" s="63">
        <v>70.352756</v>
      </c>
      <c r="N52" s="63">
        <v>72.014788</v>
      </c>
      <c r="O52" s="63">
        <v>72.70810200000001</v>
      </c>
      <c r="P52" s="86"/>
      <c r="Q52" s="103">
        <v>76.6362851863895</v>
      </c>
      <c r="R52" s="103">
        <v>58.7642633460395</v>
      </c>
      <c r="S52" s="103">
        <v>85.3524396799957</v>
      </c>
      <c r="T52" s="103">
        <v>53.4010077328909</v>
      </c>
      <c r="U52" s="103">
        <v>84.6784963276178</v>
      </c>
      <c r="V52" s="86"/>
      <c r="W52" s="158">
        <v>77.2590336341167</v>
      </c>
      <c r="X52" s="158">
        <v>65.9527806140797</v>
      </c>
      <c r="Y52" s="158">
        <v>83.9147722501209</v>
      </c>
      <c r="Z52" s="158">
        <v>51.2431255562959</v>
      </c>
      <c r="AA52" s="158">
        <v>83.2919629863786</v>
      </c>
      <c r="AB52" s="159"/>
      <c r="AC52" s="158">
        <v>71.9507808011098</v>
      </c>
      <c r="AD52" s="158">
        <v>59.8738793208154</v>
      </c>
      <c r="AE52" s="158">
        <v>83.5003445163531</v>
      </c>
      <c r="AF52" s="158">
        <v>47.9436151717249</v>
      </c>
      <c r="AG52" s="158">
        <v>82.8112119078868</v>
      </c>
      <c r="AH52" s="9"/>
      <c r="AI52" s="63">
        <v>73.1354606159839</v>
      </c>
      <c r="AJ52" s="63">
        <v>62.6470919145272</v>
      </c>
      <c r="AK52" s="63">
        <v>82.8290304275817</v>
      </c>
      <c r="AL52" s="63">
        <v>41.4557986639308</v>
      </c>
      <c r="AM52" s="63">
        <v>77.7565762035275</v>
      </c>
      <c r="AN52" s="9"/>
      <c r="AO52" s="50">
        <v>72.46095</v>
      </c>
      <c r="AP52" s="50">
        <v>65.31495</v>
      </c>
      <c r="AQ52" s="50">
        <v>82.63565</v>
      </c>
      <c r="AR52" s="50">
        <v>52.0584</v>
      </c>
      <c r="AS52" s="50">
        <v>81.453</v>
      </c>
      <c r="AU52" s="50">
        <v>73.29949</v>
      </c>
      <c r="AV52" s="50">
        <v>60.92796</v>
      </c>
      <c r="AW52" s="50">
        <v>83.95441</v>
      </c>
      <c r="AX52" s="50">
        <v>49.1118</v>
      </c>
      <c r="AY52" s="50">
        <v>79.52374</v>
      </c>
      <c r="BA52" s="50">
        <v>74.63348</v>
      </c>
      <c r="BB52" s="50">
        <v>61.48283</v>
      </c>
      <c r="BC52" s="50">
        <v>83.47028</v>
      </c>
      <c r="BD52" s="50">
        <v>51.13667</v>
      </c>
      <c r="BE52" s="50">
        <v>81.04052</v>
      </c>
      <c r="BG52" s="50">
        <v>75.51149</v>
      </c>
      <c r="BH52" s="50">
        <v>64.28168</v>
      </c>
      <c r="BI52" s="50">
        <v>83.91436</v>
      </c>
      <c r="BJ52" s="50">
        <v>53.44</v>
      </c>
      <c r="BK52" s="50">
        <v>82.92641</v>
      </c>
      <c r="BM52" s="50">
        <v>75.68717</v>
      </c>
      <c r="BN52" s="50">
        <v>66.55361</v>
      </c>
      <c r="BO52" s="50">
        <v>83.45412</v>
      </c>
      <c r="BP52" s="50">
        <v>53.58742</v>
      </c>
      <c r="BQ52" s="50">
        <v>84.25819</v>
      </c>
    </row>
    <row r="53" spans="1:69" ht="12.75">
      <c r="A53" s="2">
        <f>VLOOKUP(E53,'SHA cluster table data'!B51:C220,2,FALSE)</f>
        <v>48</v>
      </c>
      <c r="B53" s="2">
        <v>50</v>
      </c>
      <c r="C53" s="42" t="str">
        <f>VLOOKUP(E53,'SHA cluster table data'!$B$4:$G$171,6,FALSE)</f>
        <v>Q34</v>
      </c>
      <c r="D53" s="42" t="s">
        <v>49</v>
      </c>
      <c r="E53" s="71" t="s">
        <v>378</v>
      </c>
      <c r="F53" s="71">
        <v>50</v>
      </c>
      <c r="G53" s="104">
        <v>65.1905827917729</v>
      </c>
      <c r="H53" s="154">
        <f t="shared" si="0"/>
        <v>66.51802199103179</v>
      </c>
      <c r="I53" s="155">
        <f t="shared" si="1"/>
        <v>65.0069695460739</v>
      </c>
      <c r="J53" s="63">
        <v>65.89603684154073</v>
      </c>
      <c r="K53" s="63">
        <v>64.73763799999999</v>
      </c>
      <c r="L53" s="63">
        <v>65.80891799999999</v>
      </c>
      <c r="M53" s="63">
        <v>66.882282</v>
      </c>
      <c r="N53" s="63">
        <v>68.497302</v>
      </c>
      <c r="O53" s="63">
        <v>62.904936</v>
      </c>
      <c r="P53" s="86"/>
      <c r="Q53" s="103">
        <v>69.5054090560977</v>
      </c>
      <c r="R53" s="103">
        <v>52.7685847469261</v>
      </c>
      <c r="S53" s="103">
        <v>82.9003145985617</v>
      </c>
      <c r="T53" s="103">
        <v>44.7751160601063</v>
      </c>
      <c r="U53" s="103">
        <v>76.0034894971727</v>
      </c>
      <c r="V53" s="86"/>
      <c r="W53" s="158">
        <v>71.9428553732606</v>
      </c>
      <c r="X53" s="158">
        <v>60.2886415946929</v>
      </c>
      <c r="Y53" s="158">
        <v>81.6729054374985</v>
      </c>
      <c r="Z53" s="158">
        <v>42.9680863297954</v>
      </c>
      <c r="AA53" s="158">
        <v>75.7176212199115</v>
      </c>
      <c r="AB53" s="159"/>
      <c r="AC53" s="158">
        <v>70.35956110107021</v>
      </c>
      <c r="AD53" s="158">
        <v>56.79574936447842</v>
      </c>
      <c r="AE53" s="158">
        <v>78.13049024799075</v>
      </c>
      <c r="AF53" s="158">
        <v>43.12310834020377</v>
      </c>
      <c r="AG53" s="158">
        <v>76.62593867662632</v>
      </c>
      <c r="AH53" s="9"/>
      <c r="AI53" s="63">
        <v>67.5478924349044</v>
      </c>
      <c r="AJ53" s="63">
        <v>59.6119784355201</v>
      </c>
      <c r="AK53" s="63">
        <v>79.1838929958735</v>
      </c>
      <c r="AL53" s="63">
        <v>46.164015076363</v>
      </c>
      <c r="AM53" s="63">
        <v>76.9724052650427</v>
      </c>
      <c r="AN53" s="9"/>
      <c r="AO53" s="50">
        <v>63.56234</v>
      </c>
      <c r="AP53" s="50">
        <v>61.25691</v>
      </c>
      <c r="AQ53" s="50">
        <v>76.99366</v>
      </c>
      <c r="AR53" s="50">
        <v>46.96872</v>
      </c>
      <c r="AS53" s="50">
        <v>74.90656</v>
      </c>
      <c r="AU53" s="50">
        <v>67.21166</v>
      </c>
      <c r="AV53" s="50">
        <v>58.1607</v>
      </c>
      <c r="AW53" s="50">
        <v>78.78947</v>
      </c>
      <c r="AX53" s="50">
        <v>49.90578</v>
      </c>
      <c r="AY53" s="50">
        <v>74.97698</v>
      </c>
      <c r="BA53" s="50">
        <v>69.97324</v>
      </c>
      <c r="BB53" s="50">
        <v>60.15343</v>
      </c>
      <c r="BC53" s="50">
        <v>80.79819</v>
      </c>
      <c r="BD53" s="50">
        <v>43.60345</v>
      </c>
      <c r="BE53" s="50">
        <v>79.8831</v>
      </c>
      <c r="BG53" s="50">
        <v>72.17892</v>
      </c>
      <c r="BH53" s="50">
        <v>59.76745</v>
      </c>
      <c r="BI53" s="50">
        <v>82.28497</v>
      </c>
      <c r="BJ53" s="50">
        <v>50.4832</v>
      </c>
      <c r="BK53" s="50">
        <v>77.77197</v>
      </c>
      <c r="BM53" s="50">
        <v>66.70438</v>
      </c>
      <c r="BN53" s="50">
        <v>53.73455</v>
      </c>
      <c r="BO53" s="50">
        <v>79.41173</v>
      </c>
      <c r="BP53" s="50">
        <v>41.57129</v>
      </c>
      <c r="BQ53" s="50">
        <v>73.10273</v>
      </c>
    </row>
    <row r="54" spans="1:69" ht="12.75">
      <c r="A54" s="2">
        <f>VLOOKUP(E54,'SHA cluster table data'!B52:C221,2,FALSE)</f>
        <v>49</v>
      </c>
      <c r="B54" s="2">
        <v>51</v>
      </c>
      <c r="C54" s="42" t="str">
        <f>VLOOKUP(E54,'SHA cluster table data'!$B$4:$G$171,6,FALSE)</f>
        <v>Q39</v>
      </c>
      <c r="D54" s="42" t="s">
        <v>95</v>
      </c>
      <c r="E54" s="71" t="s">
        <v>265</v>
      </c>
      <c r="F54" s="71">
        <v>51</v>
      </c>
      <c r="G54" s="104">
        <v>59.317418751663</v>
      </c>
      <c r="H54" s="154">
        <f t="shared" si="0"/>
        <v>62.95102750848084</v>
      </c>
      <c r="I54" s="155">
        <f t="shared" si="1"/>
        <v>65.92412215777463</v>
      </c>
      <c r="J54" s="63">
        <v>63.584473546479</v>
      </c>
      <c r="K54" s="63">
        <v>65.28249600000001</v>
      </c>
      <c r="L54" s="63">
        <v>67.26681599999999</v>
      </c>
      <c r="M54" s="63">
        <v>62.57456</v>
      </c>
      <c r="N54" s="63">
        <v>64.28124</v>
      </c>
      <c r="O54" s="63">
        <v>67.527614</v>
      </c>
      <c r="P54" s="86"/>
      <c r="Q54" s="103">
        <v>67.4603343843937</v>
      </c>
      <c r="R54" s="103">
        <v>43.8629300993359</v>
      </c>
      <c r="S54" s="103">
        <v>80.4730246650277</v>
      </c>
      <c r="T54" s="103">
        <v>39.129426265968</v>
      </c>
      <c r="U54" s="103">
        <v>65.6613783435896</v>
      </c>
      <c r="V54" s="86"/>
      <c r="W54" s="158">
        <v>69.0069249327238</v>
      </c>
      <c r="X54" s="158">
        <v>53.9206099518384</v>
      </c>
      <c r="Y54" s="158">
        <v>79.9629704340258</v>
      </c>
      <c r="Z54" s="158">
        <v>41.9321455986973</v>
      </c>
      <c r="AA54" s="158">
        <v>69.9324866251189</v>
      </c>
      <c r="AB54" s="159"/>
      <c r="AC54" s="158">
        <v>69.6528882618076</v>
      </c>
      <c r="AD54" s="158">
        <v>55.9212103705672</v>
      </c>
      <c r="AE54" s="158">
        <v>79.787893150273</v>
      </c>
      <c r="AF54" s="158">
        <v>48.529214770955</v>
      </c>
      <c r="AG54" s="158">
        <v>75.7294042352704</v>
      </c>
      <c r="AH54" s="9"/>
      <c r="AI54" s="63">
        <v>67.9441665840396</v>
      </c>
      <c r="AJ54" s="63">
        <v>56.5213088631948</v>
      </c>
      <c r="AK54" s="63">
        <v>77.4978713571396</v>
      </c>
      <c r="AL54" s="63">
        <v>42.5845476427766</v>
      </c>
      <c r="AM54" s="63">
        <v>73.3744732852444</v>
      </c>
      <c r="AN54" s="9"/>
      <c r="AO54" s="50">
        <v>68.93254</v>
      </c>
      <c r="AP54" s="50">
        <v>55.93616</v>
      </c>
      <c r="AQ54" s="50">
        <v>80.5929</v>
      </c>
      <c r="AR54" s="50">
        <v>46.60893</v>
      </c>
      <c r="AS54" s="50">
        <v>74.34195</v>
      </c>
      <c r="AU54" s="50">
        <v>68.69536</v>
      </c>
      <c r="AV54" s="50">
        <v>58.73536</v>
      </c>
      <c r="AW54" s="50">
        <v>82.36348</v>
      </c>
      <c r="AX54" s="50">
        <v>48.90397</v>
      </c>
      <c r="AY54" s="50">
        <v>77.63591</v>
      </c>
      <c r="BA54" s="50">
        <v>66.86362</v>
      </c>
      <c r="BB54" s="50">
        <v>56.08313</v>
      </c>
      <c r="BC54" s="50">
        <v>78.14706</v>
      </c>
      <c r="BD54" s="50">
        <v>37.2534</v>
      </c>
      <c r="BE54" s="50">
        <v>74.52559</v>
      </c>
      <c r="BG54" s="50">
        <v>65.90282</v>
      </c>
      <c r="BH54" s="50">
        <v>57.37205</v>
      </c>
      <c r="BI54" s="50">
        <v>77.11565</v>
      </c>
      <c r="BJ54" s="50">
        <v>43.80917</v>
      </c>
      <c r="BK54" s="50">
        <v>77.20651</v>
      </c>
      <c r="BM54" s="50">
        <v>70.8995</v>
      </c>
      <c r="BN54" s="50">
        <v>58.75804</v>
      </c>
      <c r="BO54" s="50">
        <v>79.47504</v>
      </c>
      <c r="BP54" s="50">
        <v>49.08233</v>
      </c>
      <c r="BQ54" s="50">
        <v>79.42316</v>
      </c>
    </row>
    <row r="55" spans="1:69" ht="12.75">
      <c r="A55" s="2">
        <f>VLOOKUP(E55,'SHA cluster table data'!B53:C222,2,FALSE)</f>
        <v>50</v>
      </c>
      <c r="B55" s="1">
        <v>52</v>
      </c>
      <c r="C55" s="42" t="str">
        <f>VLOOKUP(E55,'SHA cluster table data'!$B$4:$G$171,6,FALSE)</f>
        <v>Q34</v>
      </c>
      <c r="D55" s="42" t="s">
        <v>125</v>
      </c>
      <c r="E55" s="71" t="s">
        <v>266</v>
      </c>
      <c r="F55" s="71">
        <v>52</v>
      </c>
      <c r="G55" s="104">
        <v>67.9065677406164</v>
      </c>
      <c r="H55" s="154">
        <f t="shared" si="0"/>
        <v>63.26965170955092</v>
      </c>
      <c r="I55" s="155">
        <f t="shared" si="1"/>
        <v>64.89131409394604</v>
      </c>
      <c r="J55" s="63">
        <v>67.28894035097316</v>
      </c>
      <c r="K55" s="63">
        <v>63.194428</v>
      </c>
      <c r="L55" s="63">
        <v>64.99872</v>
      </c>
      <c r="M55" s="63">
        <v>64.26411800000001</v>
      </c>
      <c r="N55" s="63">
        <v>63.843412</v>
      </c>
      <c r="O55" s="63">
        <v>67.865532</v>
      </c>
      <c r="P55" s="86"/>
      <c r="Q55" s="103">
        <v>73.3560921163682</v>
      </c>
      <c r="R55" s="103">
        <v>58.0875636298697</v>
      </c>
      <c r="S55" s="103">
        <v>84.829578092538</v>
      </c>
      <c r="T55" s="103">
        <v>49.2320350443963</v>
      </c>
      <c r="U55" s="103">
        <v>74.0275698199098</v>
      </c>
      <c r="V55" s="86"/>
      <c r="W55" s="158">
        <v>70.3180539858142</v>
      </c>
      <c r="X55" s="158">
        <v>56.9022525203026</v>
      </c>
      <c r="Y55" s="158">
        <v>80.5658433245472</v>
      </c>
      <c r="Z55" s="158">
        <v>38.6208565356175</v>
      </c>
      <c r="AA55" s="158">
        <v>69.9412521814731</v>
      </c>
      <c r="AB55" s="159"/>
      <c r="AC55" s="158">
        <v>67.663135207525</v>
      </c>
      <c r="AD55" s="158">
        <v>57.102337278475</v>
      </c>
      <c r="AE55" s="158">
        <v>78.5306223173875</v>
      </c>
      <c r="AF55" s="158">
        <v>47.9934565796246</v>
      </c>
      <c r="AG55" s="158">
        <v>73.1670190867181</v>
      </c>
      <c r="AH55" s="9"/>
      <c r="AI55" s="63">
        <v>71.8927780886059</v>
      </c>
      <c r="AJ55" s="63">
        <v>63.6504459931843</v>
      </c>
      <c r="AK55" s="63">
        <v>81.4809175513572</v>
      </c>
      <c r="AL55" s="63">
        <v>46.4581933357856</v>
      </c>
      <c r="AM55" s="63">
        <v>72.9623667859328</v>
      </c>
      <c r="AN55" s="9"/>
      <c r="AO55" s="50">
        <v>68.45676</v>
      </c>
      <c r="AP55" s="50">
        <v>55.47932</v>
      </c>
      <c r="AQ55" s="50">
        <v>77.57555</v>
      </c>
      <c r="AR55" s="50">
        <v>42.56382</v>
      </c>
      <c r="AS55" s="50">
        <v>71.89669</v>
      </c>
      <c r="AU55" s="50">
        <v>70.99195</v>
      </c>
      <c r="AV55" s="50">
        <v>56.39024</v>
      </c>
      <c r="AW55" s="50">
        <v>81.00284</v>
      </c>
      <c r="AX55" s="50">
        <v>43.32063</v>
      </c>
      <c r="AY55" s="50">
        <v>73.28794</v>
      </c>
      <c r="BA55" s="50">
        <v>70.36834</v>
      </c>
      <c r="BB55" s="50">
        <v>55.21526</v>
      </c>
      <c r="BC55" s="50">
        <v>81.44614</v>
      </c>
      <c r="BD55" s="50">
        <v>43.91029</v>
      </c>
      <c r="BE55" s="50">
        <v>70.38056</v>
      </c>
      <c r="BG55" s="50">
        <v>68.75379</v>
      </c>
      <c r="BH55" s="50">
        <v>51.90148</v>
      </c>
      <c r="BI55" s="50">
        <v>77.42007</v>
      </c>
      <c r="BJ55" s="50">
        <v>49.09369</v>
      </c>
      <c r="BK55" s="50">
        <v>72.04803</v>
      </c>
      <c r="BM55" s="50">
        <v>73.75378</v>
      </c>
      <c r="BN55" s="50">
        <v>58.11417</v>
      </c>
      <c r="BO55" s="50">
        <v>84.03349</v>
      </c>
      <c r="BP55" s="50">
        <v>47.38167</v>
      </c>
      <c r="BQ55" s="50">
        <v>76.04455</v>
      </c>
    </row>
    <row r="56" spans="1:69" ht="12.75">
      <c r="A56" s="2">
        <f>VLOOKUP(E56,'SHA cluster table data'!B54:C223,2,FALSE)</f>
        <v>51</v>
      </c>
      <c r="B56" s="2">
        <v>53</v>
      </c>
      <c r="C56" s="42" t="str">
        <f>VLOOKUP(E56,'SHA cluster table data'!$B$4:$G$171,6,FALSE)</f>
        <v>Q34</v>
      </c>
      <c r="D56" s="42" t="s">
        <v>62</v>
      </c>
      <c r="E56" s="71" t="s">
        <v>391</v>
      </c>
      <c r="F56" s="71">
        <v>53</v>
      </c>
      <c r="G56" s="104">
        <v>67.1225478664169</v>
      </c>
      <c r="H56" s="154">
        <f t="shared" si="0"/>
        <v>68.05705048412078</v>
      </c>
      <c r="I56" s="155">
        <f t="shared" si="1"/>
        <v>70.16466546766902</v>
      </c>
      <c r="J56" s="63">
        <v>67.71366324349387</v>
      </c>
      <c r="K56" s="63">
        <v>68.33229200000001</v>
      </c>
      <c r="L56" s="63">
        <v>70.45135</v>
      </c>
      <c r="M56" s="63">
        <v>77.265968</v>
      </c>
      <c r="N56" s="63">
        <v>71.56697199999999</v>
      </c>
      <c r="O56" s="63">
        <v>66.85667000000001</v>
      </c>
      <c r="P56" s="86"/>
      <c r="Q56" s="103">
        <v>72.0317624131176</v>
      </c>
      <c r="R56" s="103">
        <v>56.0971404364895</v>
      </c>
      <c r="S56" s="103">
        <v>82.8706286356185</v>
      </c>
      <c r="T56" s="103">
        <v>47.8233038957829</v>
      </c>
      <c r="U56" s="103">
        <v>76.7899039510759</v>
      </c>
      <c r="V56" s="86"/>
      <c r="W56" s="158">
        <v>70.9066774826138</v>
      </c>
      <c r="X56" s="158">
        <v>58.0601936022224</v>
      </c>
      <c r="Y56" s="158">
        <v>80.0869339391904</v>
      </c>
      <c r="Z56" s="158">
        <v>47.2728906086426</v>
      </c>
      <c r="AA56" s="158">
        <v>83.9585567879347</v>
      </c>
      <c r="AB56" s="159"/>
      <c r="AC56" s="158">
        <v>74.5598211978743</v>
      </c>
      <c r="AD56" s="158">
        <v>61.2475899142473</v>
      </c>
      <c r="AE56" s="158">
        <v>81.5427593428963</v>
      </c>
      <c r="AF56" s="158">
        <v>50.9273763645896</v>
      </c>
      <c r="AG56" s="158">
        <v>82.5457805187376</v>
      </c>
      <c r="AH56" s="9"/>
      <c r="AI56" s="63">
        <v>73.39805169843</v>
      </c>
      <c r="AJ56" s="63">
        <v>58.4157311117488</v>
      </c>
      <c r="AK56" s="63">
        <v>81.4510666042575</v>
      </c>
      <c r="AL56" s="63">
        <v>45.4112484528464</v>
      </c>
      <c r="AM56" s="63">
        <v>79.8922183501867</v>
      </c>
      <c r="AN56" s="9"/>
      <c r="AO56" s="50">
        <v>72.61861</v>
      </c>
      <c r="AP56" s="50">
        <v>56.04797</v>
      </c>
      <c r="AQ56" s="50">
        <v>78.64077</v>
      </c>
      <c r="AR56" s="50">
        <v>51.92583</v>
      </c>
      <c r="AS56" s="50">
        <v>82.42828</v>
      </c>
      <c r="AU56" s="50">
        <v>74.48246</v>
      </c>
      <c r="AV56" s="50">
        <v>65.13433</v>
      </c>
      <c r="AW56" s="50">
        <v>81.73941</v>
      </c>
      <c r="AX56" s="50">
        <v>49.0364</v>
      </c>
      <c r="AY56" s="50">
        <v>81.86415</v>
      </c>
      <c r="BA56" s="50">
        <v>76.71814</v>
      </c>
      <c r="BB56" s="50">
        <v>72.49818</v>
      </c>
      <c r="BC56" s="50">
        <v>86.46859</v>
      </c>
      <c r="BD56" s="50">
        <v>63.29214</v>
      </c>
      <c r="BE56" s="50">
        <v>87.35279</v>
      </c>
      <c r="BG56" s="50">
        <v>75.74651</v>
      </c>
      <c r="BH56" s="50">
        <v>62.87253</v>
      </c>
      <c r="BI56" s="50">
        <v>81.34742</v>
      </c>
      <c r="BJ56" s="50">
        <v>54.80891</v>
      </c>
      <c r="BK56" s="50">
        <v>83.05949</v>
      </c>
      <c r="BM56" s="50">
        <v>69.50897</v>
      </c>
      <c r="BN56" s="50">
        <v>61.39561</v>
      </c>
      <c r="BO56" s="50">
        <v>77.31947</v>
      </c>
      <c r="BP56" s="50">
        <v>48.3325</v>
      </c>
      <c r="BQ56" s="50">
        <v>77.7268</v>
      </c>
    </row>
    <row r="57" spans="1:69" ht="12.75">
      <c r="A57" s="2">
        <f>VLOOKUP(E57,'SHA cluster table data'!B55:C224,2,FALSE)</f>
        <v>52</v>
      </c>
      <c r="B57" s="2">
        <v>54</v>
      </c>
      <c r="C57" s="42" t="str">
        <f>VLOOKUP(E57,'SHA cluster table data'!$B$4:$G$171,6,FALSE)</f>
        <v>Q36</v>
      </c>
      <c r="D57" s="42" t="s">
        <v>35</v>
      </c>
      <c r="E57" s="71" t="s">
        <v>368</v>
      </c>
      <c r="F57" s="71">
        <v>54</v>
      </c>
      <c r="G57" s="104">
        <v>64.7843715702908</v>
      </c>
      <c r="H57" s="154">
        <f t="shared" si="0"/>
        <v>62.517731111594</v>
      </c>
      <c r="I57" s="155">
        <f t="shared" si="1"/>
        <v>64.64158805415839</v>
      </c>
      <c r="J57" s="63">
        <v>62.373106591306396</v>
      </c>
      <c r="K57" s="63">
        <v>60.98353999999999</v>
      </c>
      <c r="L57" s="63">
        <v>58.149798</v>
      </c>
      <c r="M57" s="63">
        <v>64.688928</v>
      </c>
      <c r="N57" s="63">
        <v>62.936054</v>
      </c>
      <c r="O57" s="63">
        <v>60.328806</v>
      </c>
      <c r="P57" s="86"/>
      <c r="Q57" s="103">
        <v>72.5491659816515</v>
      </c>
      <c r="R57" s="103">
        <v>50.462018708188</v>
      </c>
      <c r="S57" s="103">
        <v>84.6935260175605</v>
      </c>
      <c r="T57" s="103">
        <v>44.4604133213731</v>
      </c>
      <c r="U57" s="103">
        <v>71.7567338226807</v>
      </c>
      <c r="V57" s="86"/>
      <c r="W57" s="158">
        <v>64.3479583055314</v>
      </c>
      <c r="X57" s="158">
        <v>49.7165330169356</v>
      </c>
      <c r="Y57" s="158">
        <v>79.9300262789054</v>
      </c>
      <c r="Z57" s="158">
        <v>41.942419932027</v>
      </c>
      <c r="AA57" s="158">
        <v>76.6517180245706</v>
      </c>
      <c r="AB57" s="159"/>
      <c r="AC57" s="158">
        <v>67.4330418825635</v>
      </c>
      <c r="AD57" s="158">
        <v>55.1301426847949</v>
      </c>
      <c r="AE57" s="158">
        <v>80.886277506481</v>
      </c>
      <c r="AF57" s="158">
        <v>46.2676008399966</v>
      </c>
      <c r="AG57" s="158">
        <v>73.4908773569559</v>
      </c>
      <c r="AH57" s="9"/>
      <c r="AI57" s="63">
        <v>66.6838857164541</v>
      </c>
      <c r="AJ57" s="63">
        <v>52.792002701167</v>
      </c>
      <c r="AK57" s="63">
        <v>82.8682191984582</v>
      </c>
      <c r="AL57" s="63">
        <v>41.1586923972794</v>
      </c>
      <c r="AM57" s="63">
        <v>68.3627329431733</v>
      </c>
      <c r="AN57" s="9"/>
      <c r="AO57" s="50">
        <v>62.84637</v>
      </c>
      <c r="AP57" s="50">
        <v>50.23654</v>
      </c>
      <c r="AQ57" s="50">
        <v>77.52296</v>
      </c>
      <c r="AR57" s="50">
        <v>41.77776</v>
      </c>
      <c r="AS57" s="50">
        <v>72.53407</v>
      </c>
      <c r="AU57" s="50">
        <v>63.60305</v>
      </c>
      <c r="AV57" s="50">
        <v>41.25529</v>
      </c>
      <c r="AW57" s="50">
        <v>79.68906</v>
      </c>
      <c r="AX57" s="50">
        <v>42.69963</v>
      </c>
      <c r="AY57" s="50">
        <v>63.50196</v>
      </c>
      <c r="BA57" s="50">
        <v>68.26257</v>
      </c>
      <c r="BB57" s="50">
        <v>56.01012</v>
      </c>
      <c r="BC57" s="50">
        <v>81.65841</v>
      </c>
      <c r="BD57" s="50">
        <v>41.48626</v>
      </c>
      <c r="BE57" s="50">
        <v>76.02728</v>
      </c>
      <c r="BG57" s="50">
        <v>65.37701</v>
      </c>
      <c r="BH57" s="50">
        <v>49.43044</v>
      </c>
      <c r="BI57" s="50">
        <v>80.12057</v>
      </c>
      <c r="BJ57" s="50">
        <v>48.97832</v>
      </c>
      <c r="BK57" s="50">
        <v>70.77393</v>
      </c>
      <c r="BM57" s="50">
        <v>62.67757</v>
      </c>
      <c r="BN57" s="50">
        <v>51.64175</v>
      </c>
      <c r="BO57" s="50">
        <v>79.99967</v>
      </c>
      <c r="BP57" s="50">
        <v>38.72387</v>
      </c>
      <c r="BQ57" s="50">
        <v>68.60117</v>
      </c>
    </row>
    <row r="58" spans="1:69" ht="12.75">
      <c r="A58" s="2">
        <f>VLOOKUP(E58,'SHA cluster table data'!B56:C225,2,FALSE)</f>
        <v>53</v>
      </c>
      <c r="B58" s="2">
        <v>55</v>
      </c>
      <c r="C58" s="42" t="str">
        <f>VLOOKUP(E58,'SHA cluster table data'!$B$4:$G$171,6,FALSE)</f>
        <v>Q31</v>
      </c>
      <c r="D58" s="42" t="s">
        <v>127</v>
      </c>
      <c r="E58" s="71" t="s">
        <v>268</v>
      </c>
      <c r="F58" s="71">
        <v>55</v>
      </c>
      <c r="G58" s="104">
        <v>70.4200904993138</v>
      </c>
      <c r="H58" s="154">
        <f t="shared" si="0"/>
        <v>69.24954284206302</v>
      </c>
      <c r="I58" s="155">
        <f t="shared" si="1"/>
        <v>67.23791214878129</v>
      </c>
      <c r="J58" s="63">
        <v>63.201372879796665</v>
      </c>
      <c r="K58" s="63">
        <v>67.67055</v>
      </c>
      <c r="L58" s="63">
        <v>66.754178</v>
      </c>
      <c r="M58" s="63">
        <v>70.161866</v>
      </c>
      <c r="N58" s="63">
        <v>69.24278</v>
      </c>
      <c r="O58" s="63">
        <v>72.57630400000001</v>
      </c>
      <c r="P58" s="86"/>
      <c r="Q58" s="103">
        <v>72.918931935147</v>
      </c>
      <c r="R58" s="103">
        <v>62.0432377063939</v>
      </c>
      <c r="S58" s="103">
        <v>80.8874244436963</v>
      </c>
      <c r="T58" s="103">
        <v>50.1459352897526</v>
      </c>
      <c r="U58" s="103">
        <v>86.104923121579</v>
      </c>
      <c r="V58" s="86"/>
      <c r="W58" s="158">
        <v>70.2902161650842</v>
      </c>
      <c r="X58" s="158">
        <v>58.7941051321579</v>
      </c>
      <c r="Y58" s="158">
        <v>80.979922064817</v>
      </c>
      <c r="Z58" s="158">
        <v>46.931244507228</v>
      </c>
      <c r="AA58" s="158">
        <v>89.252226341028</v>
      </c>
      <c r="AB58" s="159"/>
      <c r="AC58" s="158">
        <v>67.7743969730665</v>
      </c>
      <c r="AD58" s="158">
        <v>55.3087803494115</v>
      </c>
      <c r="AE58" s="158">
        <v>79.7568326186913</v>
      </c>
      <c r="AF58" s="158">
        <v>46.0578402071899</v>
      </c>
      <c r="AG58" s="158">
        <v>87.2917105955472</v>
      </c>
      <c r="AH58" s="9"/>
      <c r="AI58" s="63">
        <v>64.9393344382623</v>
      </c>
      <c r="AJ58" s="63">
        <v>53.8550394758332</v>
      </c>
      <c r="AK58" s="63">
        <v>75.7774711767292</v>
      </c>
      <c r="AL58" s="63">
        <v>37.7323015675684</v>
      </c>
      <c r="AM58" s="63">
        <v>83.7027177405902</v>
      </c>
      <c r="AN58" s="9"/>
      <c r="AO58" s="50">
        <v>68.03098</v>
      </c>
      <c r="AP58" s="50">
        <v>59.65229</v>
      </c>
      <c r="AQ58" s="50">
        <v>74.53948</v>
      </c>
      <c r="AR58" s="50">
        <v>48.71711</v>
      </c>
      <c r="AS58" s="50">
        <v>87.41289</v>
      </c>
      <c r="AU58" s="50">
        <v>68.3629</v>
      </c>
      <c r="AV58" s="50">
        <v>57.44233</v>
      </c>
      <c r="AW58" s="50">
        <v>76.43378</v>
      </c>
      <c r="AX58" s="50">
        <v>46.41382</v>
      </c>
      <c r="AY58" s="50">
        <v>85.11806</v>
      </c>
      <c r="BA58" s="50">
        <v>72.94775</v>
      </c>
      <c r="BB58" s="50">
        <v>65.65721</v>
      </c>
      <c r="BC58" s="50">
        <v>80.26686</v>
      </c>
      <c r="BD58" s="50">
        <v>41.81039</v>
      </c>
      <c r="BE58" s="50">
        <v>90.12712</v>
      </c>
      <c r="BG58" s="50">
        <v>68.20811</v>
      </c>
      <c r="BH58" s="50">
        <v>61.95099</v>
      </c>
      <c r="BI58" s="50">
        <v>80.99808</v>
      </c>
      <c r="BJ58" s="50">
        <v>47.54438</v>
      </c>
      <c r="BK58" s="50">
        <v>87.51234</v>
      </c>
      <c r="BM58" s="50">
        <v>72.92773</v>
      </c>
      <c r="BN58" s="50">
        <v>67.28316</v>
      </c>
      <c r="BO58" s="50">
        <v>81.8795</v>
      </c>
      <c r="BP58" s="50">
        <v>50.4447</v>
      </c>
      <c r="BQ58" s="50">
        <v>90.34643</v>
      </c>
    </row>
    <row r="59" spans="1:81" ht="12.75">
      <c r="A59" s="2">
        <f>VLOOKUP(E59,'SHA cluster table data'!B57:C226,2,FALSE)</f>
        <v>54</v>
      </c>
      <c r="B59" s="1">
        <v>56</v>
      </c>
      <c r="C59" s="42" t="str">
        <f>VLOOKUP(E59,'SHA cluster table data'!$B$4:$G$171,6,FALSE)</f>
        <v>Q36</v>
      </c>
      <c r="D59" s="42" t="s">
        <v>228</v>
      </c>
      <c r="E59" s="71" t="s">
        <v>227</v>
      </c>
      <c r="F59" s="71">
        <v>56</v>
      </c>
      <c r="G59" s="104">
        <v>66.4043039390071</v>
      </c>
      <c r="H59" s="154">
        <f t="shared" si="0"/>
        <v>67.24225803950894</v>
      </c>
      <c r="I59" s="155">
        <f t="shared" si="1"/>
        <v>64.36543263142312</v>
      </c>
      <c r="J59" s="63">
        <v>64.75036601067191</v>
      </c>
      <c r="K59" s="63">
        <v>64.550888</v>
      </c>
      <c r="L59" s="65" t="s">
        <v>426</v>
      </c>
      <c r="M59" s="65" t="s">
        <v>426</v>
      </c>
      <c r="N59" s="65" t="s">
        <v>426</v>
      </c>
      <c r="O59" s="65" t="s">
        <v>426</v>
      </c>
      <c r="P59" s="86"/>
      <c r="Q59" s="103">
        <v>70.0517690366078</v>
      </c>
      <c r="R59" s="103">
        <v>48.9510401548017</v>
      </c>
      <c r="S59" s="103">
        <v>86.0480399702673</v>
      </c>
      <c r="T59" s="103">
        <v>51.5702860973325</v>
      </c>
      <c r="U59" s="103">
        <v>75.4003844360261</v>
      </c>
      <c r="V59" s="86"/>
      <c r="W59" s="158">
        <v>72.4657700907462</v>
      </c>
      <c r="X59" s="158">
        <v>55.5038854059177</v>
      </c>
      <c r="Y59" s="158">
        <v>81.5130790952757</v>
      </c>
      <c r="Z59" s="158">
        <v>50.7519811616087</v>
      </c>
      <c r="AA59" s="158">
        <v>75.9765744439964</v>
      </c>
      <c r="AB59" s="159"/>
      <c r="AC59" s="158">
        <v>66.1194271123476</v>
      </c>
      <c r="AD59" s="158">
        <v>52.3974007423032</v>
      </c>
      <c r="AE59" s="158">
        <v>80.6027844757909</v>
      </c>
      <c r="AF59" s="158">
        <v>47.6500994952712</v>
      </c>
      <c r="AG59" s="158">
        <v>75.0574513314027</v>
      </c>
      <c r="AH59" s="10"/>
      <c r="AI59" s="65">
        <v>67.8595857258571</v>
      </c>
      <c r="AJ59" s="65">
        <v>54.2271425827862</v>
      </c>
      <c r="AK59" s="65">
        <v>79.7633524188876</v>
      </c>
      <c r="AL59" s="65">
        <v>49.2276622581158</v>
      </c>
      <c r="AM59" s="65">
        <v>72.6740870677129</v>
      </c>
      <c r="AN59" s="10"/>
      <c r="AO59" s="50">
        <v>71.39124</v>
      </c>
      <c r="AP59" s="50">
        <v>56.97001</v>
      </c>
      <c r="AQ59" s="50">
        <v>80.98273</v>
      </c>
      <c r="AR59" s="50">
        <v>44.92383</v>
      </c>
      <c r="AS59" s="50">
        <v>68.48663</v>
      </c>
      <c r="AU59" s="50" t="s">
        <v>426</v>
      </c>
      <c r="AV59" s="50" t="s">
        <v>426</v>
      </c>
      <c r="AW59" s="50" t="s">
        <v>426</v>
      </c>
      <c r="AX59" s="50" t="s">
        <v>426</v>
      </c>
      <c r="AY59" s="50" t="s">
        <v>426</v>
      </c>
      <c r="BA59" s="50" t="s">
        <v>426</v>
      </c>
      <c r="BB59" s="50" t="s">
        <v>426</v>
      </c>
      <c r="BC59" s="50" t="s">
        <v>426</v>
      </c>
      <c r="BD59" s="50" t="s">
        <v>426</v>
      </c>
      <c r="BE59" s="50" t="s">
        <v>426</v>
      </c>
      <c r="BG59" s="50" t="s">
        <v>426</v>
      </c>
      <c r="BH59" s="50" t="s">
        <v>426</v>
      </c>
      <c r="BI59" s="50" t="s">
        <v>426</v>
      </c>
      <c r="BJ59" s="50" t="s">
        <v>426</v>
      </c>
      <c r="BK59" s="50" t="s">
        <v>426</v>
      </c>
      <c r="BM59" s="50" t="s">
        <v>426</v>
      </c>
      <c r="BN59" s="50" t="s">
        <v>426</v>
      </c>
      <c r="BO59" s="50" t="s">
        <v>426</v>
      </c>
      <c r="BP59" s="50" t="s">
        <v>426</v>
      </c>
      <c r="BQ59" s="50" t="s">
        <v>426</v>
      </c>
      <c r="BY59" s="11"/>
      <c r="BZ59" s="11"/>
      <c r="CA59" s="11"/>
      <c r="CB59" s="11"/>
      <c r="CC59" s="11"/>
    </row>
    <row r="60" spans="1:69" ht="12.75">
      <c r="A60" s="2">
        <f>VLOOKUP(E60,'SHA cluster table data'!B58:C227,2,FALSE)</f>
        <v>55</v>
      </c>
      <c r="B60" s="2">
        <v>57</v>
      </c>
      <c r="C60" s="42" t="str">
        <f>VLOOKUP(E60,'SHA cluster table data'!$B$4:$G$171,6,FALSE)</f>
        <v>Q34</v>
      </c>
      <c r="D60" s="42" t="s">
        <v>128</v>
      </c>
      <c r="E60" s="71" t="s">
        <v>269</v>
      </c>
      <c r="F60" s="71">
        <v>57</v>
      </c>
      <c r="G60" s="104">
        <v>64.4957194779924</v>
      </c>
      <c r="H60" s="154">
        <f t="shared" si="0"/>
        <v>64.70771525329408</v>
      </c>
      <c r="I60" s="155">
        <f t="shared" si="1"/>
        <v>66.61361773055071</v>
      </c>
      <c r="J60" s="63">
        <v>68.94250593819521</v>
      </c>
      <c r="K60" s="63">
        <v>68.55449999999999</v>
      </c>
      <c r="L60" s="63">
        <v>63.495112000000006</v>
      </c>
      <c r="M60" s="63">
        <v>69.978414</v>
      </c>
      <c r="N60" s="63">
        <v>71.984964</v>
      </c>
      <c r="O60" s="63">
        <v>66.44612</v>
      </c>
      <c r="P60" s="86"/>
      <c r="Q60" s="103">
        <v>69.7464904550724</v>
      </c>
      <c r="R60" s="103">
        <v>53.9743206614746</v>
      </c>
      <c r="S60" s="103">
        <v>80.4085850606488</v>
      </c>
      <c r="T60" s="103">
        <v>44.5875162163778</v>
      </c>
      <c r="U60" s="103">
        <v>73.7616849963882</v>
      </c>
      <c r="V60" s="86"/>
      <c r="W60" s="158">
        <v>68.4986196489684</v>
      </c>
      <c r="X60" s="158">
        <v>55.7792487472079</v>
      </c>
      <c r="Y60" s="158">
        <v>82.6414473622296</v>
      </c>
      <c r="Z60" s="158">
        <v>43.3860111239205</v>
      </c>
      <c r="AA60" s="158">
        <v>73.233249384144</v>
      </c>
      <c r="AB60" s="159"/>
      <c r="AC60" s="158">
        <v>69.9844763391551</v>
      </c>
      <c r="AD60" s="158">
        <v>61.1843884063764</v>
      </c>
      <c r="AE60" s="158">
        <v>83.0921037804672</v>
      </c>
      <c r="AF60" s="158">
        <v>44.4542403294291</v>
      </c>
      <c r="AG60" s="158">
        <v>74.3528797973258</v>
      </c>
      <c r="AH60" s="9"/>
      <c r="AI60" s="63">
        <v>73.361946770986</v>
      </c>
      <c r="AJ60" s="63">
        <v>61.0593076711354</v>
      </c>
      <c r="AK60" s="63">
        <v>84.999812954746</v>
      </c>
      <c r="AL60" s="63">
        <v>45.9865566003643</v>
      </c>
      <c r="AM60" s="63">
        <v>79.3049056937444</v>
      </c>
      <c r="AN60" s="9"/>
      <c r="AO60" s="50">
        <v>73.43932</v>
      </c>
      <c r="AP60" s="50">
        <v>61.99581</v>
      </c>
      <c r="AQ60" s="50">
        <v>82.65775</v>
      </c>
      <c r="AR60" s="50">
        <v>46.83166</v>
      </c>
      <c r="AS60" s="50">
        <v>77.84796</v>
      </c>
      <c r="AU60" s="50">
        <v>68.37659</v>
      </c>
      <c r="AV60" s="50">
        <v>54.78173</v>
      </c>
      <c r="AW60" s="50">
        <v>78.41611</v>
      </c>
      <c r="AX60" s="50">
        <v>45.27195</v>
      </c>
      <c r="AY60" s="50">
        <v>70.62918</v>
      </c>
      <c r="BA60" s="50">
        <v>73.35251</v>
      </c>
      <c r="BB60" s="50">
        <v>65.79766</v>
      </c>
      <c r="BC60" s="50">
        <v>82.13525</v>
      </c>
      <c r="BD60" s="50">
        <v>51.10754</v>
      </c>
      <c r="BE60" s="50">
        <v>77.49911</v>
      </c>
      <c r="BG60" s="50">
        <v>74.8761</v>
      </c>
      <c r="BH60" s="50">
        <v>59.3271</v>
      </c>
      <c r="BI60" s="50">
        <v>85.54078</v>
      </c>
      <c r="BJ60" s="50">
        <v>59.08604</v>
      </c>
      <c r="BK60" s="50">
        <v>81.0948</v>
      </c>
      <c r="BM60" s="50">
        <v>70.87844</v>
      </c>
      <c r="BN60" s="50">
        <v>60.17217</v>
      </c>
      <c r="BO60" s="50">
        <v>78.13779</v>
      </c>
      <c r="BP60" s="50">
        <v>47.00987</v>
      </c>
      <c r="BQ60" s="50">
        <v>76.03233</v>
      </c>
    </row>
    <row r="61" spans="1:71" s="171" customFormat="1" ht="12.75">
      <c r="A61" s="2">
        <f>VLOOKUP(E61,'SHA cluster table data'!B59:C228,2,FALSE)</f>
        <v>56</v>
      </c>
      <c r="B61" s="2">
        <v>58</v>
      </c>
      <c r="C61" s="42" t="str">
        <f>VLOOKUP(E61,'SHA cluster table data'!$B$4:$G$171,6,FALSE)</f>
        <v>Q39</v>
      </c>
      <c r="D61" s="23" t="s">
        <v>435</v>
      </c>
      <c r="E61" s="220" t="s">
        <v>441</v>
      </c>
      <c r="F61" s="161">
        <v>58</v>
      </c>
      <c r="G61" s="223">
        <v>66.2505373102867</v>
      </c>
      <c r="H61" s="221">
        <f>AVERAGE(W61:AA61)</f>
        <v>67.50664627737385</v>
      </c>
      <c r="I61" s="222">
        <f t="shared" si="1"/>
        <v>67.30130750410486</v>
      </c>
      <c r="J61" s="63">
        <v>65.47838351946521</v>
      </c>
      <c r="K61" s="63">
        <v>66.457758</v>
      </c>
      <c r="L61" s="63">
        <v>67.90588199999999</v>
      </c>
      <c r="M61" s="65" t="s">
        <v>426</v>
      </c>
      <c r="N61" s="65" t="s">
        <v>426</v>
      </c>
      <c r="O61" s="65" t="s">
        <v>426</v>
      </c>
      <c r="P61" s="86"/>
      <c r="Q61" s="103">
        <v>70.9770660969203</v>
      </c>
      <c r="R61" s="103">
        <v>53.6827080931925</v>
      </c>
      <c r="S61" s="103">
        <v>85.1525325280816</v>
      </c>
      <c r="T61" s="103">
        <v>45.7980405840952</v>
      </c>
      <c r="U61" s="103">
        <v>75.6423392491438</v>
      </c>
      <c r="V61" s="86"/>
      <c r="W61" s="166">
        <v>71.7124018854716</v>
      </c>
      <c r="X61" s="166">
        <v>58.3419287670748</v>
      </c>
      <c r="Y61" s="166">
        <v>85.5299824811622</v>
      </c>
      <c r="Z61" s="166">
        <v>46.1958109157572</v>
      </c>
      <c r="AA61" s="166">
        <v>75.7531073374034</v>
      </c>
      <c r="AB61" s="168"/>
      <c r="AC61" s="166">
        <v>68.8192737873365</v>
      </c>
      <c r="AD61" s="166">
        <v>59.8725514721397</v>
      </c>
      <c r="AE61" s="166">
        <v>83.640520982548</v>
      </c>
      <c r="AF61" s="166">
        <v>49.37508162765</v>
      </c>
      <c r="AG61" s="166">
        <v>74.7991096508501</v>
      </c>
      <c r="AH61" s="169"/>
      <c r="AI61" s="167">
        <v>71.1869702927967</v>
      </c>
      <c r="AJ61" s="167">
        <v>57.0687620919914</v>
      </c>
      <c r="AK61" s="167">
        <v>83.1211713318646</v>
      </c>
      <c r="AL61" s="167">
        <v>43.2831129662826</v>
      </c>
      <c r="AM61" s="167">
        <v>72.7319009143907</v>
      </c>
      <c r="AN61" s="169"/>
      <c r="AO61" s="170">
        <v>71.41302</v>
      </c>
      <c r="AP61" s="170">
        <v>62.10122</v>
      </c>
      <c r="AQ61" s="170">
        <v>79.44833</v>
      </c>
      <c r="AR61" s="170">
        <v>44.52736</v>
      </c>
      <c r="AS61" s="170">
        <v>74.79886</v>
      </c>
      <c r="AU61" s="170">
        <v>74.82129</v>
      </c>
      <c r="AV61" s="170">
        <v>64.59264</v>
      </c>
      <c r="AW61" s="170">
        <v>80.83287</v>
      </c>
      <c r="AX61" s="170">
        <v>46.21443</v>
      </c>
      <c r="AY61" s="170">
        <v>73.06818</v>
      </c>
      <c r="BA61" s="170" t="s">
        <v>426</v>
      </c>
      <c r="BB61" s="170" t="s">
        <v>426</v>
      </c>
      <c r="BC61" s="170" t="s">
        <v>426</v>
      </c>
      <c r="BD61" s="170" t="s">
        <v>426</v>
      </c>
      <c r="BE61" s="170" t="s">
        <v>426</v>
      </c>
      <c r="BG61" s="170" t="s">
        <v>426</v>
      </c>
      <c r="BH61" s="170" t="s">
        <v>426</v>
      </c>
      <c r="BI61" s="170" t="s">
        <v>426</v>
      </c>
      <c r="BJ61" s="170" t="s">
        <v>426</v>
      </c>
      <c r="BK61" s="170" t="s">
        <v>426</v>
      </c>
      <c r="BM61" s="170" t="s">
        <v>426</v>
      </c>
      <c r="BN61" s="170" t="s">
        <v>426</v>
      </c>
      <c r="BO61" s="170" t="s">
        <v>426</v>
      </c>
      <c r="BP61" s="170" t="s">
        <v>426</v>
      </c>
      <c r="BQ61" s="170" t="s">
        <v>426</v>
      </c>
      <c r="BS61" s="207"/>
    </row>
    <row r="62" spans="1:69" ht="12.75">
      <c r="A62" s="2">
        <f>VLOOKUP(E62,'SHA cluster table data'!B60:C229,2,FALSE)</f>
        <v>57</v>
      </c>
      <c r="B62" s="2">
        <v>59</v>
      </c>
      <c r="C62" s="42" t="str">
        <f>VLOOKUP(E62,'SHA cluster table data'!$B$4:$G$171,6,FALSE)</f>
        <v>Q34</v>
      </c>
      <c r="D62" s="42" t="s">
        <v>250</v>
      </c>
      <c r="E62" s="71" t="s">
        <v>344</v>
      </c>
      <c r="F62" s="71">
        <v>59</v>
      </c>
      <c r="G62" s="104">
        <v>66.3981468434016</v>
      </c>
      <c r="H62" s="154">
        <f t="shared" si="0"/>
        <v>65.4527511026566</v>
      </c>
      <c r="I62" s="155">
        <f t="shared" si="1"/>
        <v>67.8274320730123</v>
      </c>
      <c r="J62" s="63">
        <v>69.6302210949271</v>
      </c>
      <c r="K62" s="63">
        <v>66.235432</v>
      </c>
      <c r="L62" s="63">
        <v>66.45746199999999</v>
      </c>
      <c r="M62" s="63">
        <v>69.216108</v>
      </c>
      <c r="N62" s="63">
        <v>62.04559400000001</v>
      </c>
      <c r="O62" s="63">
        <v>63.967954</v>
      </c>
      <c r="P62" s="86"/>
      <c r="Q62" s="103">
        <v>74.7973168426417</v>
      </c>
      <c r="R62" s="103">
        <v>59.9500460800134</v>
      </c>
      <c r="S62" s="103">
        <v>87.2790403507513</v>
      </c>
      <c r="T62" s="103">
        <v>39.2855541062894</v>
      </c>
      <c r="U62" s="103">
        <v>70.6787768373123</v>
      </c>
      <c r="V62" s="86"/>
      <c r="W62" s="158">
        <v>69.3338026951825</v>
      </c>
      <c r="X62" s="158">
        <v>57.9905595125136</v>
      </c>
      <c r="Y62" s="158">
        <v>82.5986829488322</v>
      </c>
      <c r="Z62" s="158">
        <v>42.5581025660697</v>
      </c>
      <c r="AA62" s="158">
        <v>74.782607790685</v>
      </c>
      <c r="AB62" s="159"/>
      <c r="AC62" s="158">
        <v>73.2457002622236</v>
      </c>
      <c r="AD62" s="158">
        <v>62.8745309667768</v>
      </c>
      <c r="AE62" s="158">
        <v>85.4284340699869</v>
      </c>
      <c r="AF62" s="158">
        <v>42.8363994587205</v>
      </c>
      <c r="AG62" s="158">
        <v>74.7520956073537</v>
      </c>
      <c r="AH62" s="9"/>
      <c r="AI62" s="63">
        <v>75.8647187930917</v>
      </c>
      <c r="AJ62" s="63">
        <v>67.9979634326659</v>
      </c>
      <c r="AK62" s="63">
        <v>87.7274979241374</v>
      </c>
      <c r="AL62" s="63">
        <v>42.0926394517464</v>
      </c>
      <c r="AM62" s="63">
        <v>74.4682858729941</v>
      </c>
      <c r="AN62" s="9"/>
      <c r="AO62" s="50">
        <v>71.54591</v>
      </c>
      <c r="AP62" s="50">
        <v>64.50748</v>
      </c>
      <c r="AQ62" s="50">
        <v>82.99407</v>
      </c>
      <c r="AR62" s="50">
        <v>40.86523</v>
      </c>
      <c r="AS62" s="50">
        <v>71.26447</v>
      </c>
      <c r="AU62" s="50">
        <v>71.02272</v>
      </c>
      <c r="AV62" s="50">
        <v>57.82438</v>
      </c>
      <c r="AW62" s="50">
        <v>83.56297</v>
      </c>
      <c r="AX62" s="50">
        <v>45.48821</v>
      </c>
      <c r="AY62" s="50">
        <v>74.38903</v>
      </c>
      <c r="BA62" s="50">
        <v>71.70923</v>
      </c>
      <c r="BB62" s="50">
        <v>60.48074</v>
      </c>
      <c r="BC62" s="50">
        <v>81.95546</v>
      </c>
      <c r="BD62" s="50">
        <v>54.43924</v>
      </c>
      <c r="BE62" s="50">
        <v>77.49587</v>
      </c>
      <c r="BG62" s="50">
        <v>68.04859</v>
      </c>
      <c r="BH62" s="50">
        <v>54.6242</v>
      </c>
      <c r="BI62" s="50">
        <v>79.26151</v>
      </c>
      <c r="BJ62" s="50">
        <v>38.28444</v>
      </c>
      <c r="BK62" s="50">
        <v>70.00923</v>
      </c>
      <c r="BM62" s="50">
        <v>67.88748</v>
      </c>
      <c r="BN62" s="50">
        <v>57.53451</v>
      </c>
      <c r="BO62" s="50">
        <v>77.789</v>
      </c>
      <c r="BP62" s="50">
        <v>43.51811</v>
      </c>
      <c r="BQ62" s="50">
        <v>73.11067</v>
      </c>
    </row>
    <row r="63" spans="1:69" ht="12.75">
      <c r="A63" s="2">
        <f>VLOOKUP(E63,'SHA cluster table data'!B61:C230,2,FALSE)</f>
        <v>58</v>
      </c>
      <c r="B63" s="1">
        <v>60</v>
      </c>
      <c r="C63" s="42" t="str">
        <f>VLOOKUP(E63,'SHA cluster table data'!$B$4:$G$171,6,FALSE)</f>
        <v>Q34</v>
      </c>
      <c r="D63" s="42" t="s">
        <v>129</v>
      </c>
      <c r="E63" s="71" t="s">
        <v>270</v>
      </c>
      <c r="F63" s="71">
        <v>60</v>
      </c>
      <c r="G63" s="104">
        <v>70.1595725774941</v>
      </c>
      <c r="H63" s="154">
        <f t="shared" si="0"/>
        <v>70.27354804372051</v>
      </c>
      <c r="I63" s="155">
        <f t="shared" si="1"/>
        <v>67.91186574860801</v>
      </c>
      <c r="J63" s="63">
        <v>65.15960478018305</v>
      </c>
      <c r="K63" s="63">
        <v>66.002914</v>
      </c>
      <c r="L63" s="63">
        <v>68.73390199999999</v>
      </c>
      <c r="M63" s="63">
        <v>67.601798</v>
      </c>
      <c r="N63" s="63">
        <v>73.97989</v>
      </c>
      <c r="O63" s="63">
        <v>63.746759999999995</v>
      </c>
      <c r="P63" s="86"/>
      <c r="Q63" s="103">
        <v>76.496258951468</v>
      </c>
      <c r="R63" s="103">
        <v>57.5689251336091</v>
      </c>
      <c r="S63" s="103">
        <v>87.2591210364168</v>
      </c>
      <c r="T63" s="103">
        <v>50.0301325121125</v>
      </c>
      <c r="U63" s="103">
        <v>79.4434252538642</v>
      </c>
      <c r="V63" s="86"/>
      <c r="W63" s="158">
        <v>73.4851424006196</v>
      </c>
      <c r="X63" s="158">
        <v>65.6959746346182</v>
      </c>
      <c r="Y63" s="158">
        <v>84.0668438164697</v>
      </c>
      <c r="Z63" s="158">
        <v>48.5171172950168</v>
      </c>
      <c r="AA63" s="158">
        <v>79.6026620718782</v>
      </c>
      <c r="AB63" s="159"/>
      <c r="AC63" s="158">
        <v>71.8723172066421</v>
      </c>
      <c r="AD63" s="158">
        <v>61.2482815052018</v>
      </c>
      <c r="AE63" s="158">
        <v>81.1106978841391</v>
      </c>
      <c r="AF63" s="158">
        <v>47.402450966972</v>
      </c>
      <c r="AG63" s="158">
        <v>77.925581180085</v>
      </c>
      <c r="AH63" s="9"/>
      <c r="AI63" s="63">
        <v>67.9918145268439</v>
      </c>
      <c r="AJ63" s="63">
        <v>58.3518418807544</v>
      </c>
      <c r="AK63" s="63">
        <v>76.9760841291681</v>
      </c>
      <c r="AL63" s="63">
        <v>45.781368705392</v>
      </c>
      <c r="AM63" s="63">
        <v>76.6969146587568</v>
      </c>
      <c r="AN63" s="9"/>
      <c r="AO63" s="50">
        <v>69.19221</v>
      </c>
      <c r="AP63" s="50">
        <v>61.05368</v>
      </c>
      <c r="AQ63" s="50">
        <v>78.56485</v>
      </c>
      <c r="AR63" s="50">
        <v>46.65035</v>
      </c>
      <c r="AS63" s="50">
        <v>74.55348</v>
      </c>
      <c r="AU63" s="50">
        <v>69.76862</v>
      </c>
      <c r="AV63" s="50">
        <v>64.63309</v>
      </c>
      <c r="AW63" s="50">
        <v>79.27802</v>
      </c>
      <c r="AX63" s="50">
        <v>52.70881</v>
      </c>
      <c r="AY63" s="50">
        <v>77.28097</v>
      </c>
      <c r="BA63" s="50">
        <v>70.04256</v>
      </c>
      <c r="BB63" s="50">
        <v>61.49783</v>
      </c>
      <c r="BC63" s="50">
        <v>80.79975</v>
      </c>
      <c r="BD63" s="50">
        <v>51.068</v>
      </c>
      <c r="BE63" s="50">
        <v>74.60085</v>
      </c>
      <c r="BG63" s="50">
        <v>76.89497</v>
      </c>
      <c r="BH63" s="50">
        <v>64.50137</v>
      </c>
      <c r="BI63" s="50">
        <v>85.51575</v>
      </c>
      <c r="BJ63" s="50">
        <v>61.94559</v>
      </c>
      <c r="BK63" s="50">
        <v>81.04177</v>
      </c>
      <c r="BM63" s="50">
        <v>66.73597</v>
      </c>
      <c r="BN63" s="50">
        <v>61.15025</v>
      </c>
      <c r="BO63" s="50">
        <v>76.55791</v>
      </c>
      <c r="BP63" s="50">
        <v>42.7252</v>
      </c>
      <c r="BQ63" s="50">
        <v>71.56447</v>
      </c>
    </row>
    <row r="64" spans="1:69" ht="12.75">
      <c r="A64" s="2">
        <f>VLOOKUP(E64,'SHA cluster table data'!B62:C231,2,FALSE)</f>
        <v>59</v>
      </c>
      <c r="B64" s="2">
        <v>61</v>
      </c>
      <c r="C64" s="42" t="str">
        <f>VLOOKUP(E64,'SHA cluster table data'!$B$4:$G$171,6,FALSE)</f>
        <v>Q36</v>
      </c>
      <c r="D64" s="42" t="s">
        <v>96</v>
      </c>
      <c r="E64" s="71" t="s">
        <v>271</v>
      </c>
      <c r="F64" s="71">
        <v>61</v>
      </c>
      <c r="G64" s="104">
        <v>68.4788663144136</v>
      </c>
      <c r="H64" s="154">
        <f t="shared" si="0"/>
        <v>64.5291911827038</v>
      </c>
      <c r="I64" s="155">
        <f t="shared" si="1"/>
        <v>68.83832894313494</v>
      </c>
      <c r="J64" s="63">
        <v>62.16731387129105</v>
      </c>
      <c r="K64" s="63">
        <v>66.99726600000001</v>
      </c>
      <c r="L64" s="63">
        <v>66.13194</v>
      </c>
      <c r="M64" s="63">
        <v>67.134236</v>
      </c>
      <c r="N64" s="63">
        <v>66.316632</v>
      </c>
      <c r="O64" s="63">
        <v>63.53839000000001</v>
      </c>
      <c r="P64" s="86"/>
      <c r="Q64" s="103">
        <v>72.7540147617449</v>
      </c>
      <c r="R64" s="103">
        <v>60.1029371455666</v>
      </c>
      <c r="S64" s="103">
        <v>84.6276199547324</v>
      </c>
      <c r="T64" s="103">
        <v>48.796323025456</v>
      </c>
      <c r="U64" s="103">
        <v>76.113436684568</v>
      </c>
      <c r="V64" s="86"/>
      <c r="W64" s="158">
        <v>66.6045630868626</v>
      </c>
      <c r="X64" s="158">
        <v>54.0571237775098</v>
      </c>
      <c r="Y64" s="158">
        <v>80.6966468594945</v>
      </c>
      <c r="Z64" s="158">
        <v>47.5456272570819</v>
      </c>
      <c r="AA64" s="158">
        <v>73.7419949325702</v>
      </c>
      <c r="AB64" s="159"/>
      <c r="AC64" s="158">
        <v>70.292968765196</v>
      </c>
      <c r="AD64" s="158">
        <v>62.4065259139634</v>
      </c>
      <c r="AE64" s="158">
        <v>81.3691001838571</v>
      </c>
      <c r="AF64" s="158">
        <v>52.8240094591458</v>
      </c>
      <c r="AG64" s="158">
        <v>77.2990403935125</v>
      </c>
      <c r="AH64" s="9"/>
      <c r="AI64" s="63">
        <v>69.6848434672512</v>
      </c>
      <c r="AJ64" s="63">
        <v>54.6269774777517</v>
      </c>
      <c r="AK64" s="63">
        <v>78.8150770589907</v>
      </c>
      <c r="AL64" s="63">
        <v>41.0970842632009</v>
      </c>
      <c r="AM64" s="63">
        <v>66.6125870892608</v>
      </c>
      <c r="AN64" s="9"/>
      <c r="AO64" s="50">
        <v>73.86246</v>
      </c>
      <c r="AP64" s="50">
        <v>64.36944</v>
      </c>
      <c r="AQ64" s="50">
        <v>81.34262</v>
      </c>
      <c r="AR64" s="50">
        <v>41.86702</v>
      </c>
      <c r="AS64" s="50">
        <v>73.54479</v>
      </c>
      <c r="AU64" s="50">
        <v>69.81666</v>
      </c>
      <c r="AV64" s="50">
        <v>62.19102</v>
      </c>
      <c r="AW64" s="50">
        <v>81.70398</v>
      </c>
      <c r="AX64" s="50">
        <v>43.21569</v>
      </c>
      <c r="AY64" s="50">
        <v>73.73235</v>
      </c>
      <c r="BA64" s="50">
        <v>72.36492</v>
      </c>
      <c r="BB64" s="50">
        <v>61.0244</v>
      </c>
      <c r="BC64" s="50">
        <v>80.43055</v>
      </c>
      <c r="BD64" s="50">
        <v>45.7337</v>
      </c>
      <c r="BE64" s="50">
        <v>76.11761</v>
      </c>
      <c r="BG64" s="50">
        <v>72.30698</v>
      </c>
      <c r="BH64" s="50">
        <v>56.75308</v>
      </c>
      <c r="BI64" s="50">
        <v>81.46654</v>
      </c>
      <c r="BJ64" s="50">
        <v>48.13457</v>
      </c>
      <c r="BK64" s="50">
        <v>72.92199</v>
      </c>
      <c r="BM64" s="50">
        <v>67.38488</v>
      </c>
      <c r="BN64" s="50">
        <v>53.00743</v>
      </c>
      <c r="BO64" s="50">
        <v>78.19203</v>
      </c>
      <c r="BP64" s="50">
        <v>47.31113</v>
      </c>
      <c r="BQ64" s="50">
        <v>71.79648</v>
      </c>
    </row>
    <row r="65" spans="1:69" ht="12.75">
      <c r="A65" s="2">
        <f>VLOOKUP(E65,'SHA cluster table data'!B63:C232,2,FALSE)</f>
        <v>60</v>
      </c>
      <c r="B65" s="2">
        <v>62</v>
      </c>
      <c r="C65" s="42" t="str">
        <f>VLOOKUP(E65,'SHA cluster table data'!$B$4:$G$171,6,FALSE)</f>
        <v>Q36</v>
      </c>
      <c r="D65" s="42" t="s">
        <v>72</v>
      </c>
      <c r="E65" s="71" t="s">
        <v>408</v>
      </c>
      <c r="F65" s="71">
        <v>62</v>
      </c>
      <c r="G65" s="104">
        <v>69.8378826102901</v>
      </c>
      <c r="H65" s="154">
        <f t="shared" si="0"/>
        <v>64.23962581492133</v>
      </c>
      <c r="I65" s="155">
        <f t="shared" si="1"/>
        <v>64.48335758074626</v>
      </c>
      <c r="J65" s="63">
        <v>63.67834060022035</v>
      </c>
      <c r="K65" s="63">
        <v>63.276688</v>
      </c>
      <c r="L65" s="63">
        <v>61.025432</v>
      </c>
      <c r="M65" s="63">
        <v>61.139206</v>
      </c>
      <c r="N65" s="63">
        <v>66.17785799999999</v>
      </c>
      <c r="O65" s="63">
        <v>58.86451999999999</v>
      </c>
      <c r="P65" s="86"/>
      <c r="Q65" s="103">
        <v>73.5636525462377</v>
      </c>
      <c r="R65" s="103">
        <v>52.5905937690251</v>
      </c>
      <c r="S65" s="103">
        <v>84.3883385698216</v>
      </c>
      <c r="T65" s="103">
        <v>52.1941013596137</v>
      </c>
      <c r="U65" s="103">
        <v>86.4527268067523</v>
      </c>
      <c r="V65" s="86"/>
      <c r="W65" s="158">
        <v>68.3586489531894</v>
      </c>
      <c r="X65" s="158">
        <v>52.1109875039203</v>
      </c>
      <c r="Y65" s="158">
        <v>77.7864477049695</v>
      </c>
      <c r="Z65" s="158">
        <v>48.6631234762534</v>
      </c>
      <c r="AA65" s="158">
        <v>74.278921436274</v>
      </c>
      <c r="AB65" s="159"/>
      <c r="AC65" s="158">
        <v>65.1313236374357</v>
      </c>
      <c r="AD65" s="158">
        <v>52.7654057458815</v>
      </c>
      <c r="AE65" s="158">
        <v>79.0166886174052</v>
      </c>
      <c r="AF65" s="158">
        <v>47.4825393234459</v>
      </c>
      <c r="AG65" s="158">
        <v>78.020830579563</v>
      </c>
      <c r="AH65" s="9"/>
      <c r="AI65" s="63">
        <v>69.8732674094035</v>
      </c>
      <c r="AJ65" s="63">
        <v>57.2832158657987</v>
      </c>
      <c r="AK65" s="63">
        <v>78.4723743064</v>
      </c>
      <c r="AL65" s="63">
        <v>41.8308902149301</v>
      </c>
      <c r="AM65" s="63">
        <v>70.9319552045695</v>
      </c>
      <c r="AN65" s="9"/>
      <c r="AO65" s="50">
        <v>71.03557</v>
      </c>
      <c r="AP65" s="50">
        <v>50.84555</v>
      </c>
      <c r="AQ65" s="50">
        <v>80.65779</v>
      </c>
      <c r="AR65" s="50">
        <v>43.37709</v>
      </c>
      <c r="AS65" s="50">
        <v>70.46744</v>
      </c>
      <c r="AU65" s="50">
        <v>69.05489</v>
      </c>
      <c r="AV65" s="50">
        <v>50.93755</v>
      </c>
      <c r="AW65" s="50">
        <v>75.85084</v>
      </c>
      <c r="AX65" s="50">
        <v>42.88852</v>
      </c>
      <c r="AY65" s="50">
        <v>66.39536</v>
      </c>
      <c r="BA65" s="50">
        <v>66.5633</v>
      </c>
      <c r="BB65" s="50">
        <v>50.80502</v>
      </c>
      <c r="BC65" s="50">
        <v>76.19723</v>
      </c>
      <c r="BD65" s="50">
        <v>39.94721</v>
      </c>
      <c r="BE65" s="50">
        <v>72.18327</v>
      </c>
      <c r="BG65" s="50">
        <v>69.15699</v>
      </c>
      <c r="BH65" s="50">
        <v>58.99751</v>
      </c>
      <c r="BI65" s="50">
        <v>79.21835</v>
      </c>
      <c r="BJ65" s="50">
        <v>47.93048</v>
      </c>
      <c r="BK65" s="50">
        <v>75.58596</v>
      </c>
      <c r="BM65" s="50">
        <v>62.00858</v>
      </c>
      <c r="BN65" s="50">
        <v>48.08247</v>
      </c>
      <c r="BO65" s="50">
        <v>69.69516</v>
      </c>
      <c r="BP65" s="50">
        <v>46.16874</v>
      </c>
      <c r="BQ65" s="50">
        <v>68.36765</v>
      </c>
    </row>
    <row r="66" spans="1:69" ht="12.75">
      <c r="A66" s="2">
        <f>VLOOKUP(E66,'SHA cluster table data'!B64:C233,2,FALSE)</f>
        <v>61</v>
      </c>
      <c r="B66" s="2">
        <v>63</v>
      </c>
      <c r="C66" s="42" t="str">
        <f>VLOOKUP(E66,'SHA cluster table data'!$B$4:$G$171,6,FALSE)</f>
        <v>Q31</v>
      </c>
      <c r="D66" s="42" t="s">
        <v>242</v>
      </c>
      <c r="E66" s="71" t="s">
        <v>328</v>
      </c>
      <c r="F66" s="71">
        <v>63</v>
      </c>
      <c r="G66" s="104">
        <v>66.9767284748322</v>
      </c>
      <c r="H66" s="154">
        <f t="shared" si="0"/>
        <v>62.92198929762291</v>
      </c>
      <c r="I66" s="155">
        <f t="shared" si="1"/>
        <v>69.36051845344561</v>
      </c>
      <c r="J66" s="63">
        <v>66.17730134115176</v>
      </c>
      <c r="K66" s="63">
        <v>67.03175</v>
      </c>
      <c r="L66" s="63">
        <v>62.788098000000005</v>
      </c>
      <c r="M66" s="63">
        <v>63.145500000000006</v>
      </c>
      <c r="N66" s="63">
        <v>64.962524</v>
      </c>
      <c r="O66" s="63">
        <v>67.36005800000001</v>
      </c>
      <c r="P66" s="86"/>
      <c r="Q66" s="103">
        <v>69.8618969400505</v>
      </c>
      <c r="R66" s="103">
        <v>59.7091894951969</v>
      </c>
      <c r="S66" s="103">
        <v>78.6759680860305</v>
      </c>
      <c r="T66" s="103">
        <v>48.0918936466776</v>
      </c>
      <c r="U66" s="103">
        <v>78.5446942062056</v>
      </c>
      <c r="V66" s="86"/>
      <c r="W66" s="158">
        <v>68.4334040635452</v>
      </c>
      <c r="X66" s="158">
        <v>52.245853654584</v>
      </c>
      <c r="Y66" s="158">
        <v>76.8283940187841</v>
      </c>
      <c r="Z66" s="158">
        <v>42.2185438241581</v>
      </c>
      <c r="AA66" s="158">
        <v>74.8837509270431</v>
      </c>
      <c r="AB66" s="159"/>
      <c r="AC66" s="158">
        <v>71.589826742625</v>
      </c>
      <c r="AD66" s="158">
        <v>60.5650500379706</v>
      </c>
      <c r="AE66" s="158">
        <v>82.6695371074542</v>
      </c>
      <c r="AF66" s="158">
        <v>47.3056538500211</v>
      </c>
      <c r="AG66" s="158">
        <v>84.6725245291571</v>
      </c>
      <c r="AH66" s="9"/>
      <c r="AI66" s="63">
        <v>71.0849449308009</v>
      </c>
      <c r="AJ66" s="63">
        <v>54.6969279440429</v>
      </c>
      <c r="AK66" s="63">
        <v>81.8281919965584</v>
      </c>
      <c r="AL66" s="63">
        <v>44.6012391422411</v>
      </c>
      <c r="AM66" s="63">
        <v>78.6752026921155</v>
      </c>
      <c r="AN66" s="9"/>
      <c r="AO66" s="50">
        <v>70.39288</v>
      </c>
      <c r="AP66" s="50">
        <v>57.45147</v>
      </c>
      <c r="AQ66" s="50">
        <v>79.45757</v>
      </c>
      <c r="AR66" s="50">
        <v>48.89154</v>
      </c>
      <c r="AS66" s="50">
        <v>78.96529</v>
      </c>
      <c r="AU66" s="50">
        <v>66.47984</v>
      </c>
      <c r="AV66" s="50">
        <v>54.84918</v>
      </c>
      <c r="AW66" s="50">
        <v>71.74285</v>
      </c>
      <c r="AX66" s="50">
        <v>44.2047</v>
      </c>
      <c r="AY66" s="50">
        <v>76.66392</v>
      </c>
      <c r="BA66" s="50">
        <v>65.81187</v>
      </c>
      <c r="BB66" s="50">
        <v>55.29708</v>
      </c>
      <c r="BC66" s="50">
        <v>74.89866</v>
      </c>
      <c r="BD66" s="50">
        <v>44.16864</v>
      </c>
      <c r="BE66" s="50">
        <v>75.55125</v>
      </c>
      <c r="BG66" s="50">
        <v>68.47556</v>
      </c>
      <c r="BH66" s="50">
        <v>58.7733</v>
      </c>
      <c r="BI66" s="50">
        <v>80.12211</v>
      </c>
      <c r="BJ66" s="50">
        <v>40.40511</v>
      </c>
      <c r="BK66" s="50">
        <v>77.03654</v>
      </c>
      <c r="BM66" s="50">
        <v>70.10131</v>
      </c>
      <c r="BN66" s="50">
        <v>58.17284</v>
      </c>
      <c r="BO66" s="50">
        <v>78.99649</v>
      </c>
      <c r="BP66" s="50">
        <v>49.50278</v>
      </c>
      <c r="BQ66" s="50">
        <v>80.02687</v>
      </c>
    </row>
    <row r="67" spans="1:69" ht="12.75">
      <c r="A67" s="2">
        <f>VLOOKUP(E67,'SHA cluster table data'!B65:C234,2,FALSE)</f>
        <v>62</v>
      </c>
      <c r="B67" s="1">
        <v>64</v>
      </c>
      <c r="C67" s="42" t="str">
        <f>VLOOKUP(E67,'SHA cluster table data'!$B$4:$G$171,6,FALSE)</f>
        <v>Q31</v>
      </c>
      <c r="D67" s="42" t="s">
        <v>130</v>
      </c>
      <c r="E67" s="71" t="s">
        <v>118</v>
      </c>
      <c r="F67" s="71">
        <v>64</v>
      </c>
      <c r="G67" s="104">
        <v>65.5779480916414</v>
      </c>
      <c r="H67" s="154">
        <f t="shared" si="0"/>
        <v>64.97835098063027</v>
      </c>
      <c r="I67" s="155">
        <f t="shared" si="1"/>
        <v>64.04085642657884</v>
      </c>
      <c r="J67" s="63">
        <v>67.14473273457311</v>
      </c>
      <c r="K67" s="63">
        <v>67.542922</v>
      </c>
      <c r="L67" s="63">
        <v>67.11447</v>
      </c>
      <c r="M67" s="63">
        <v>66.694266</v>
      </c>
      <c r="N67" s="63">
        <v>70.506534</v>
      </c>
      <c r="O67" s="63">
        <v>68.030562</v>
      </c>
      <c r="P67" s="86"/>
      <c r="Q67" s="103">
        <v>70.2195829305318</v>
      </c>
      <c r="R67" s="103">
        <v>60.3822057451266</v>
      </c>
      <c r="S67" s="103">
        <v>83.0003491348841</v>
      </c>
      <c r="T67" s="103">
        <v>40.1551618600553</v>
      </c>
      <c r="U67" s="103">
        <v>74.1324407876094</v>
      </c>
      <c r="V67" s="86"/>
      <c r="W67" s="158">
        <v>71.1645155656702</v>
      </c>
      <c r="X67" s="158">
        <v>56.9339720542094</v>
      </c>
      <c r="Y67" s="158">
        <v>81.83280317094</v>
      </c>
      <c r="Z67" s="158">
        <v>41.9237384806475</v>
      </c>
      <c r="AA67" s="158">
        <v>73.0367256316842</v>
      </c>
      <c r="AB67" s="159"/>
      <c r="AC67" s="158">
        <v>68.6275257820985</v>
      </c>
      <c r="AD67" s="158">
        <v>55.6447617468869</v>
      </c>
      <c r="AE67" s="158">
        <v>77.5843540506279</v>
      </c>
      <c r="AF67" s="158">
        <v>44.2534947937009</v>
      </c>
      <c r="AG67" s="158">
        <v>74.09414575958</v>
      </c>
      <c r="AH67" s="9"/>
      <c r="AI67" s="63">
        <v>73.3996134639667</v>
      </c>
      <c r="AJ67" s="63">
        <v>61.2024325331609</v>
      </c>
      <c r="AK67" s="63">
        <v>80.5637435570954</v>
      </c>
      <c r="AL67" s="63">
        <v>47.1653007743555</v>
      </c>
      <c r="AM67" s="63">
        <v>73.392573344287</v>
      </c>
      <c r="AN67" s="9"/>
      <c r="AO67" s="50">
        <v>71.78758</v>
      </c>
      <c r="AP67" s="50">
        <v>59.60143</v>
      </c>
      <c r="AQ67" s="50">
        <v>78.87034</v>
      </c>
      <c r="AR67" s="50">
        <v>51.73028</v>
      </c>
      <c r="AS67" s="50">
        <v>75.72498</v>
      </c>
      <c r="AU67" s="50">
        <v>70.62128</v>
      </c>
      <c r="AV67" s="50">
        <v>57.32105</v>
      </c>
      <c r="AW67" s="50">
        <v>78.01695</v>
      </c>
      <c r="AX67" s="50">
        <v>50.66011</v>
      </c>
      <c r="AY67" s="50">
        <v>78.95296</v>
      </c>
      <c r="BA67" s="50">
        <v>71.89182</v>
      </c>
      <c r="BB67" s="50">
        <v>59.31532</v>
      </c>
      <c r="BC67" s="50">
        <v>79.10104</v>
      </c>
      <c r="BD67" s="50">
        <v>47.99715</v>
      </c>
      <c r="BE67" s="50">
        <v>75.166</v>
      </c>
      <c r="BG67" s="50">
        <v>73.2778</v>
      </c>
      <c r="BH67" s="50">
        <v>63.41933</v>
      </c>
      <c r="BI67" s="50">
        <v>80.45309</v>
      </c>
      <c r="BJ67" s="50">
        <v>56.12569</v>
      </c>
      <c r="BK67" s="50">
        <v>79.25676</v>
      </c>
      <c r="BM67" s="50">
        <v>71.78996</v>
      </c>
      <c r="BN67" s="50">
        <v>61.72757</v>
      </c>
      <c r="BO67" s="50">
        <v>79.73495</v>
      </c>
      <c r="BP67" s="50">
        <v>47.68031</v>
      </c>
      <c r="BQ67" s="50">
        <v>79.22002</v>
      </c>
    </row>
    <row r="68" spans="1:69" ht="12.75">
      <c r="A68" s="2">
        <f>VLOOKUP(E68,'SHA cluster table data'!B66:C235,2,FALSE)</f>
        <v>63</v>
      </c>
      <c r="B68" s="2">
        <v>65</v>
      </c>
      <c r="C68" s="42" t="str">
        <f>VLOOKUP(E68,'SHA cluster table data'!$B$4:$G$171,6,FALSE)</f>
        <v>Q31</v>
      </c>
      <c r="D68" s="42" t="s">
        <v>56</v>
      </c>
      <c r="E68" s="71" t="s">
        <v>79</v>
      </c>
      <c r="F68" s="71">
        <v>65</v>
      </c>
      <c r="G68" s="104">
        <v>78.255718822455</v>
      </c>
      <c r="H68" s="154">
        <f t="shared" si="0"/>
        <v>79.48644306859812</v>
      </c>
      <c r="I68" s="155">
        <f t="shared" si="1"/>
        <v>77.37996668201748</v>
      </c>
      <c r="J68" s="63">
        <v>73.59270232368435</v>
      </c>
      <c r="K68" s="63">
        <v>76.273122</v>
      </c>
      <c r="L68" s="63">
        <v>76.25264999999999</v>
      </c>
      <c r="M68" s="63">
        <v>74.136646</v>
      </c>
      <c r="N68" s="63">
        <v>75.68826200000001</v>
      </c>
      <c r="O68" s="63">
        <v>75.1647</v>
      </c>
      <c r="P68" s="86"/>
      <c r="Q68" s="103">
        <v>79.3075183298557</v>
      </c>
      <c r="R68" s="103">
        <v>76.4300390111494</v>
      </c>
      <c r="S68" s="103">
        <v>88.4280127222038</v>
      </c>
      <c r="T68" s="103">
        <v>56.2017355553502</v>
      </c>
      <c r="U68" s="103">
        <v>90.9112884937161</v>
      </c>
      <c r="V68" s="86"/>
      <c r="W68" s="158">
        <v>77.2686764275192</v>
      </c>
      <c r="X68" s="158">
        <v>74.900979909915</v>
      </c>
      <c r="Y68" s="158">
        <v>89.5215344897943</v>
      </c>
      <c r="Z68" s="158">
        <v>64.1207018897039</v>
      </c>
      <c r="AA68" s="158">
        <v>91.6203226260582</v>
      </c>
      <c r="AB68" s="159"/>
      <c r="AC68" s="158">
        <v>80.2730128300099</v>
      </c>
      <c r="AD68" s="158">
        <v>73.6427827825906</v>
      </c>
      <c r="AE68" s="158">
        <v>91.0706789837059</v>
      </c>
      <c r="AF68" s="158">
        <v>53.8542077812461</v>
      </c>
      <c r="AG68" s="158">
        <v>88.0591510325349</v>
      </c>
      <c r="AH68" s="9"/>
      <c r="AI68" s="63">
        <v>75.7121269110272</v>
      </c>
      <c r="AJ68" s="63">
        <v>71.1466109390397</v>
      </c>
      <c r="AK68" s="63">
        <v>89.9755859389156</v>
      </c>
      <c r="AL68" s="63">
        <v>46.2744362885528</v>
      </c>
      <c r="AM68" s="63">
        <v>84.8547515408865</v>
      </c>
      <c r="AN68" s="9"/>
      <c r="AO68" s="50">
        <v>78.7487</v>
      </c>
      <c r="AP68" s="50">
        <v>72.85849</v>
      </c>
      <c r="AQ68" s="50">
        <v>89.12729</v>
      </c>
      <c r="AR68" s="50">
        <v>51.75316</v>
      </c>
      <c r="AS68" s="50">
        <v>88.87797</v>
      </c>
      <c r="AU68" s="50">
        <v>81.84407</v>
      </c>
      <c r="AV68" s="50">
        <v>74.05505</v>
      </c>
      <c r="AW68" s="50">
        <v>88.71828</v>
      </c>
      <c r="AX68" s="50">
        <v>52.53593</v>
      </c>
      <c r="AY68" s="50">
        <v>84.10992</v>
      </c>
      <c r="BA68" s="50">
        <v>80.97146</v>
      </c>
      <c r="BB68" s="50">
        <v>72.91973</v>
      </c>
      <c r="BC68" s="50">
        <v>89.52103</v>
      </c>
      <c r="BD68" s="50">
        <v>47.77292</v>
      </c>
      <c r="BE68" s="50">
        <v>79.49809</v>
      </c>
      <c r="BG68" s="50">
        <v>81.80204</v>
      </c>
      <c r="BH68" s="50">
        <v>74.81879</v>
      </c>
      <c r="BI68" s="50">
        <v>89.08411</v>
      </c>
      <c r="BJ68" s="50">
        <v>48.15904</v>
      </c>
      <c r="BK68" s="50">
        <v>84.57733</v>
      </c>
      <c r="BM68" s="50">
        <v>78.52787</v>
      </c>
      <c r="BN68" s="50">
        <v>74.34089</v>
      </c>
      <c r="BO68" s="50">
        <v>85.19888</v>
      </c>
      <c r="BP68" s="50">
        <v>51.88684</v>
      </c>
      <c r="BQ68" s="50">
        <v>85.86902</v>
      </c>
    </row>
    <row r="69" spans="1:69" ht="12.75">
      <c r="A69" s="2">
        <f>VLOOKUP(E69,'SHA cluster table data'!B67:C236,2,FALSE)</f>
        <v>64</v>
      </c>
      <c r="B69" s="2">
        <v>66</v>
      </c>
      <c r="C69" s="42" t="str">
        <f>VLOOKUP(E69,'SHA cluster table data'!$B$4:$G$171,6,FALSE)</f>
        <v>Q31</v>
      </c>
      <c r="D69" s="42" t="s">
        <v>23</v>
      </c>
      <c r="E69" s="71" t="s">
        <v>274</v>
      </c>
      <c r="F69" s="71">
        <v>66</v>
      </c>
      <c r="G69" s="104">
        <v>77.5260859923876</v>
      </c>
      <c r="H69" s="154">
        <f t="shared" si="0"/>
        <v>76.55272274849207</v>
      </c>
      <c r="I69" s="155">
        <f t="shared" si="1"/>
        <v>76.53680948294758</v>
      </c>
      <c r="J69" s="63">
        <v>74.55080636546731</v>
      </c>
      <c r="K69" s="63">
        <v>74.16878000000001</v>
      </c>
      <c r="L69" s="63">
        <v>71.273128</v>
      </c>
      <c r="M69" s="63">
        <v>72.563402</v>
      </c>
      <c r="N69" s="63">
        <v>73.595838</v>
      </c>
      <c r="O69" s="63">
        <v>69.549064</v>
      </c>
      <c r="P69" s="86"/>
      <c r="Q69" s="103">
        <v>78.3635147547384</v>
      </c>
      <c r="R69" s="103">
        <v>71.6524661312393</v>
      </c>
      <c r="S69" s="103">
        <v>84.3524827770242</v>
      </c>
      <c r="T69" s="103">
        <v>66.2445828533552</v>
      </c>
      <c r="U69" s="103">
        <v>87.0173834455809</v>
      </c>
      <c r="V69" s="86"/>
      <c r="W69" s="158">
        <v>81.5529029064637</v>
      </c>
      <c r="X69" s="158">
        <v>69.8618583048808</v>
      </c>
      <c r="Y69" s="158">
        <v>88.041637302341</v>
      </c>
      <c r="Z69" s="158">
        <v>53.7401804186645</v>
      </c>
      <c r="AA69" s="158">
        <v>89.5670348101104</v>
      </c>
      <c r="AB69" s="159"/>
      <c r="AC69" s="158">
        <v>81.8513960862091</v>
      </c>
      <c r="AD69" s="158">
        <v>70.6755413475423</v>
      </c>
      <c r="AE69" s="158">
        <v>79.6826290692606</v>
      </c>
      <c r="AF69" s="158">
        <v>61.4093348995517</v>
      </c>
      <c r="AG69" s="158">
        <v>89.0651460121742</v>
      </c>
      <c r="AH69" s="9"/>
      <c r="AI69" s="63">
        <v>82.0153076509494</v>
      </c>
      <c r="AJ69" s="63">
        <v>69.5570950190378</v>
      </c>
      <c r="AK69" s="63">
        <v>84.4296364584364</v>
      </c>
      <c r="AL69" s="63">
        <v>50.5154481789009</v>
      </c>
      <c r="AM69" s="63">
        <v>86.2365445200121</v>
      </c>
      <c r="AN69" s="9"/>
      <c r="AO69" s="50">
        <v>75.74335</v>
      </c>
      <c r="AP69" s="50">
        <v>68.76187</v>
      </c>
      <c r="AQ69" s="50">
        <v>83.771</v>
      </c>
      <c r="AR69" s="50">
        <v>52.99891</v>
      </c>
      <c r="AS69" s="50">
        <v>89.56877</v>
      </c>
      <c r="AU69" s="50">
        <v>76.11514</v>
      </c>
      <c r="AV69" s="50">
        <v>65.91954</v>
      </c>
      <c r="AW69" s="50">
        <v>80.39664</v>
      </c>
      <c r="AX69" s="50">
        <v>46.34728</v>
      </c>
      <c r="AY69" s="50">
        <v>87.58704</v>
      </c>
      <c r="BA69" s="50">
        <v>77.7114</v>
      </c>
      <c r="BB69" s="50">
        <v>71.56907</v>
      </c>
      <c r="BC69" s="50">
        <v>81.77474</v>
      </c>
      <c r="BD69" s="50">
        <v>52.60816</v>
      </c>
      <c r="BE69" s="50">
        <v>79.15364</v>
      </c>
      <c r="BG69" s="50">
        <v>77.70796</v>
      </c>
      <c r="BH69" s="50">
        <v>70.80408</v>
      </c>
      <c r="BI69" s="50">
        <v>84.26244</v>
      </c>
      <c r="BJ69" s="50">
        <v>52.65058</v>
      </c>
      <c r="BK69" s="50">
        <v>82.55413</v>
      </c>
      <c r="BM69" s="50">
        <v>78.2693</v>
      </c>
      <c r="BN69" s="50">
        <v>71.44926</v>
      </c>
      <c r="BO69" s="50">
        <v>82.98496</v>
      </c>
      <c r="BP69" s="50">
        <v>40.77504</v>
      </c>
      <c r="BQ69" s="50">
        <v>74.26676</v>
      </c>
    </row>
    <row r="70" spans="1:69" ht="12.75">
      <c r="A70" s="2">
        <f>VLOOKUP(E70,'SHA cluster table data'!B68:C237,2,FALSE)</f>
        <v>65</v>
      </c>
      <c r="B70" s="2">
        <v>67</v>
      </c>
      <c r="C70" s="42" t="str">
        <f>VLOOKUP(E70,'SHA cluster table data'!$B$4:$G$171,6,FALSE)</f>
        <v>Q34</v>
      </c>
      <c r="D70" s="42" t="s">
        <v>258</v>
      </c>
      <c r="E70" s="71" t="s">
        <v>381</v>
      </c>
      <c r="F70" s="71">
        <v>67</v>
      </c>
      <c r="G70" s="104">
        <v>67.5454005332157</v>
      </c>
      <c r="H70" s="154">
        <f aca="true" t="shared" si="2" ref="H70:H133">AVERAGE(W70:AA70)</f>
        <v>63.950673350835906</v>
      </c>
      <c r="I70" s="155">
        <f aca="true" t="shared" si="3" ref="I70:I133">AVERAGE(AC70:AG70)</f>
        <v>65.55882548748923</v>
      </c>
      <c r="J70" s="63">
        <v>60.961661004991925</v>
      </c>
      <c r="K70" s="63">
        <v>63.98817799999999</v>
      </c>
      <c r="L70" s="63">
        <v>60.787988</v>
      </c>
      <c r="M70" s="63">
        <v>61.973172</v>
      </c>
      <c r="N70" s="63">
        <v>61.808876</v>
      </c>
      <c r="O70" s="63">
        <v>60.7427</v>
      </c>
      <c r="P70" s="86"/>
      <c r="Q70" s="103">
        <v>71.4697552368018</v>
      </c>
      <c r="R70" s="103">
        <v>59.189697866135</v>
      </c>
      <c r="S70" s="103">
        <v>86.1446573457608</v>
      </c>
      <c r="T70" s="103">
        <v>42.2003927269784</v>
      </c>
      <c r="U70" s="103">
        <v>78.7224994904023</v>
      </c>
      <c r="V70" s="86"/>
      <c r="W70" s="158">
        <v>67.9168335158998</v>
      </c>
      <c r="X70" s="158">
        <v>53.0304701596057</v>
      </c>
      <c r="Y70" s="158">
        <v>80.4333947400745</v>
      </c>
      <c r="Z70" s="158">
        <v>43.44457654903</v>
      </c>
      <c r="AA70" s="158">
        <v>74.9280917895695</v>
      </c>
      <c r="AB70" s="159"/>
      <c r="AC70" s="158">
        <v>69.2736982650605</v>
      </c>
      <c r="AD70" s="158">
        <v>53.9926480774032</v>
      </c>
      <c r="AE70" s="158">
        <v>82.8298622064058</v>
      </c>
      <c r="AF70" s="158">
        <v>41.457407183345</v>
      </c>
      <c r="AG70" s="158">
        <v>80.2405117052316</v>
      </c>
      <c r="AH70" s="9"/>
      <c r="AI70" s="63">
        <v>64.8025262414485</v>
      </c>
      <c r="AJ70" s="63">
        <v>52.6660085144671</v>
      </c>
      <c r="AK70" s="63">
        <v>79.6480124194515</v>
      </c>
      <c r="AL70" s="63">
        <v>36.7090262488531</v>
      </c>
      <c r="AM70" s="63">
        <v>70.9827316007394</v>
      </c>
      <c r="AN70" s="9"/>
      <c r="AO70" s="50">
        <v>65.29704</v>
      </c>
      <c r="AP70" s="50">
        <v>56.9515</v>
      </c>
      <c r="AQ70" s="50">
        <v>81.05127</v>
      </c>
      <c r="AR70" s="50">
        <v>43.0448</v>
      </c>
      <c r="AS70" s="50">
        <v>73.59628</v>
      </c>
      <c r="AU70" s="50">
        <v>65.41888</v>
      </c>
      <c r="AV70" s="50">
        <v>53.70324</v>
      </c>
      <c r="AW70" s="50">
        <v>79.11149</v>
      </c>
      <c r="AX70" s="50">
        <v>34.08185</v>
      </c>
      <c r="AY70" s="50">
        <v>71.62448</v>
      </c>
      <c r="BA70" s="50">
        <v>65.06422</v>
      </c>
      <c r="BB70" s="50">
        <v>51.25869</v>
      </c>
      <c r="BC70" s="50">
        <v>76.4882</v>
      </c>
      <c r="BD70" s="50">
        <v>44.61176</v>
      </c>
      <c r="BE70" s="50">
        <v>72.44299</v>
      </c>
      <c r="BG70" s="50">
        <v>66.07072</v>
      </c>
      <c r="BH70" s="50">
        <v>51.34632</v>
      </c>
      <c r="BI70" s="50">
        <v>80.12943</v>
      </c>
      <c r="BJ70" s="50">
        <v>40.45287</v>
      </c>
      <c r="BK70" s="50">
        <v>71.04504</v>
      </c>
      <c r="BM70" s="50">
        <v>63.97382</v>
      </c>
      <c r="BN70" s="50">
        <v>52.76111</v>
      </c>
      <c r="BO70" s="50">
        <v>79.20731</v>
      </c>
      <c r="BP70" s="50">
        <v>34.55683</v>
      </c>
      <c r="BQ70" s="50">
        <v>73.21443</v>
      </c>
    </row>
    <row r="71" spans="1:69" ht="12.75">
      <c r="A71" s="2">
        <f>VLOOKUP(E71,'SHA cluster table data'!B69:C238,2,FALSE)</f>
        <v>66</v>
      </c>
      <c r="B71" s="1">
        <v>68</v>
      </c>
      <c r="C71" s="42" t="str">
        <f>VLOOKUP(E71,'SHA cluster table data'!$B$4:$G$171,6,FALSE)</f>
        <v>Q39</v>
      </c>
      <c r="D71" s="42" t="s">
        <v>16</v>
      </c>
      <c r="E71" s="71" t="s">
        <v>380</v>
      </c>
      <c r="F71" s="71">
        <v>68</v>
      </c>
      <c r="G71" s="104">
        <v>66.4157103388156</v>
      </c>
      <c r="H71" s="154">
        <f t="shared" si="2"/>
        <v>63.14398717736308</v>
      </c>
      <c r="I71" s="155">
        <f t="shared" si="3"/>
        <v>64.95263979654997</v>
      </c>
      <c r="J71" s="63">
        <v>65.96038467652829</v>
      </c>
      <c r="K71" s="63">
        <v>65.579746</v>
      </c>
      <c r="L71" s="63">
        <v>59.468233999999995</v>
      </c>
      <c r="M71" s="63">
        <v>61.975260000000006</v>
      </c>
      <c r="N71" s="63">
        <v>65.369414</v>
      </c>
      <c r="O71" s="63">
        <v>63.80317599999999</v>
      </c>
      <c r="P71" s="86"/>
      <c r="Q71" s="103">
        <v>71.5824140070975</v>
      </c>
      <c r="R71" s="103">
        <v>57.299362242511</v>
      </c>
      <c r="S71" s="103">
        <v>87.8037169954018</v>
      </c>
      <c r="T71" s="103">
        <v>43.9896360856839</v>
      </c>
      <c r="U71" s="103">
        <v>71.4034223633837</v>
      </c>
      <c r="V71" s="86"/>
      <c r="W71" s="158">
        <v>68.3170877689775</v>
      </c>
      <c r="X71" s="158">
        <v>57.0985620632537</v>
      </c>
      <c r="Y71" s="158">
        <v>81.4248586745373</v>
      </c>
      <c r="Z71" s="158">
        <v>42.0381889361972</v>
      </c>
      <c r="AA71" s="158">
        <v>66.8412384438497</v>
      </c>
      <c r="AB71" s="159"/>
      <c r="AC71" s="158">
        <v>70.2001286688762</v>
      </c>
      <c r="AD71" s="158">
        <v>55.4140183502708</v>
      </c>
      <c r="AE71" s="158">
        <v>78.881219695204</v>
      </c>
      <c r="AF71" s="158">
        <v>42.0677810756227</v>
      </c>
      <c r="AG71" s="158">
        <v>78.2000511927762</v>
      </c>
      <c r="AH71" s="9"/>
      <c r="AI71" s="63">
        <v>70.5717733051251</v>
      </c>
      <c r="AJ71" s="63">
        <v>59.9800105732505</v>
      </c>
      <c r="AK71" s="63">
        <v>80.0580637685724</v>
      </c>
      <c r="AL71" s="63">
        <v>46.9800129306788</v>
      </c>
      <c r="AM71" s="63">
        <v>72.2120628050147</v>
      </c>
      <c r="AN71" s="9"/>
      <c r="AO71" s="50">
        <v>71.3269</v>
      </c>
      <c r="AP71" s="50">
        <v>57.24223</v>
      </c>
      <c r="AQ71" s="50">
        <v>78.14231</v>
      </c>
      <c r="AR71" s="50">
        <v>47.20395</v>
      </c>
      <c r="AS71" s="50">
        <v>73.98334</v>
      </c>
      <c r="AU71" s="50">
        <v>62.88754</v>
      </c>
      <c r="AV71" s="50">
        <v>51.36728</v>
      </c>
      <c r="AW71" s="50">
        <v>74.26058</v>
      </c>
      <c r="AX71" s="50">
        <v>38.36808</v>
      </c>
      <c r="AY71" s="50">
        <v>70.45769</v>
      </c>
      <c r="BA71" s="50">
        <v>67.71072</v>
      </c>
      <c r="BB71" s="50">
        <v>57.75983</v>
      </c>
      <c r="BC71" s="50">
        <v>75.11564</v>
      </c>
      <c r="BD71" s="50">
        <v>37.13</v>
      </c>
      <c r="BE71" s="50">
        <v>72.16011</v>
      </c>
      <c r="BG71" s="50">
        <v>69.44669</v>
      </c>
      <c r="BH71" s="50">
        <v>59.61708</v>
      </c>
      <c r="BI71" s="50">
        <v>76.13465</v>
      </c>
      <c r="BJ71" s="50">
        <v>48.71126</v>
      </c>
      <c r="BK71" s="50">
        <v>72.93739</v>
      </c>
      <c r="BM71" s="50">
        <v>67.61883</v>
      </c>
      <c r="BN71" s="50">
        <v>59.37714</v>
      </c>
      <c r="BO71" s="50">
        <v>75.08587</v>
      </c>
      <c r="BP71" s="50">
        <v>42.25394</v>
      </c>
      <c r="BQ71" s="50">
        <v>74.6801</v>
      </c>
    </row>
    <row r="72" spans="1:69" ht="12.75">
      <c r="A72" s="2">
        <f>VLOOKUP(E72,'SHA cluster table data'!B70:C239,2,FALSE)</f>
        <v>67</v>
      </c>
      <c r="B72" s="2">
        <v>69</v>
      </c>
      <c r="C72" s="42" t="str">
        <f>VLOOKUP(E72,'SHA cluster table data'!$B$4:$G$171,6,FALSE)</f>
        <v>Q39</v>
      </c>
      <c r="D72" s="42" t="s">
        <v>17</v>
      </c>
      <c r="E72" s="71" t="s">
        <v>389</v>
      </c>
      <c r="F72" s="71">
        <v>69</v>
      </c>
      <c r="G72" s="104">
        <v>64.223899102239</v>
      </c>
      <c r="H72" s="154">
        <f t="shared" si="2"/>
        <v>62.31668025677914</v>
      </c>
      <c r="I72" s="155">
        <f t="shared" si="3"/>
        <v>62.17477638234705</v>
      </c>
      <c r="J72" s="63">
        <v>63.6387223637969</v>
      </c>
      <c r="K72" s="63">
        <v>61.942333999999995</v>
      </c>
      <c r="L72" s="63">
        <v>63.57846000000001</v>
      </c>
      <c r="M72" s="63">
        <v>63.53815000000001</v>
      </c>
      <c r="N72" s="63">
        <v>66.422282</v>
      </c>
      <c r="O72" s="63">
        <v>65.945934</v>
      </c>
      <c r="P72" s="86"/>
      <c r="Q72" s="103">
        <v>69.133081966955</v>
      </c>
      <c r="R72" s="103">
        <v>54.0735587688048</v>
      </c>
      <c r="S72" s="103">
        <v>81.6141803911552</v>
      </c>
      <c r="T72" s="103">
        <v>40.5046790944197</v>
      </c>
      <c r="U72" s="103">
        <v>75.7939952898605</v>
      </c>
      <c r="V72" s="86"/>
      <c r="W72" s="158">
        <v>64.7773336977399</v>
      </c>
      <c r="X72" s="158">
        <v>50.8944179890872</v>
      </c>
      <c r="Y72" s="158">
        <v>79.7372834695465</v>
      </c>
      <c r="Z72" s="158">
        <v>40.2392490061141</v>
      </c>
      <c r="AA72" s="158">
        <v>75.935117121408</v>
      </c>
      <c r="AB72" s="159"/>
      <c r="AC72" s="158">
        <v>66.7114977396785</v>
      </c>
      <c r="AD72" s="158">
        <v>54.4362501144564</v>
      </c>
      <c r="AE72" s="158">
        <v>80.5164353044682</v>
      </c>
      <c r="AF72" s="158">
        <v>39.1090372998175</v>
      </c>
      <c r="AG72" s="158">
        <v>70.1006614533146</v>
      </c>
      <c r="AH72" s="9"/>
      <c r="AI72" s="63">
        <v>67.9182473183468</v>
      </c>
      <c r="AJ72" s="63">
        <v>56.683792785996</v>
      </c>
      <c r="AK72" s="63">
        <v>81.5407333151215</v>
      </c>
      <c r="AL72" s="63">
        <v>41.1684131722803</v>
      </c>
      <c r="AM72" s="63">
        <v>70.8824252272399</v>
      </c>
      <c r="AN72" s="9"/>
      <c r="AO72" s="50">
        <v>68.31313</v>
      </c>
      <c r="AP72" s="50">
        <v>52.50708</v>
      </c>
      <c r="AQ72" s="50">
        <v>79.0217</v>
      </c>
      <c r="AR72" s="50">
        <v>38.56554</v>
      </c>
      <c r="AS72" s="50">
        <v>71.30422</v>
      </c>
      <c r="AU72" s="50">
        <v>67.25906</v>
      </c>
      <c r="AV72" s="50">
        <v>54.53982</v>
      </c>
      <c r="AW72" s="50">
        <v>76.55392</v>
      </c>
      <c r="AX72" s="50">
        <v>44.35678</v>
      </c>
      <c r="AY72" s="50">
        <v>75.18272</v>
      </c>
      <c r="BA72" s="50">
        <v>68.49723</v>
      </c>
      <c r="BB72" s="50">
        <v>57.48946</v>
      </c>
      <c r="BC72" s="50">
        <v>77.10491</v>
      </c>
      <c r="BD72" s="50">
        <v>39.98076</v>
      </c>
      <c r="BE72" s="50">
        <v>74.61839</v>
      </c>
      <c r="BG72" s="50">
        <v>69.13766</v>
      </c>
      <c r="BH72" s="50">
        <v>58.11666</v>
      </c>
      <c r="BI72" s="50">
        <v>79.95928</v>
      </c>
      <c r="BJ72" s="50">
        <v>48.31981</v>
      </c>
      <c r="BK72" s="50">
        <v>76.578</v>
      </c>
      <c r="BM72" s="50">
        <v>70.34909</v>
      </c>
      <c r="BN72" s="50">
        <v>54.58783</v>
      </c>
      <c r="BO72" s="50">
        <v>77.67213</v>
      </c>
      <c r="BP72" s="50">
        <v>50.25183</v>
      </c>
      <c r="BQ72" s="50">
        <v>76.86879</v>
      </c>
    </row>
    <row r="73" spans="1:69" ht="12.75">
      <c r="A73" s="2">
        <f>VLOOKUP(E73,'SHA cluster table data'!B71:C240,2,FALSE)</f>
        <v>68</v>
      </c>
      <c r="B73" s="2">
        <v>70</v>
      </c>
      <c r="C73" s="42" t="str">
        <f>VLOOKUP(E73,'SHA cluster table data'!$B$4:$G$171,6,FALSE)</f>
        <v>Q34</v>
      </c>
      <c r="D73" s="42" t="s">
        <v>132</v>
      </c>
      <c r="E73" s="71" t="s">
        <v>275</v>
      </c>
      <c r="F73" s="71">
        <v>70</v>
      </c>
      <c r="G73" s="104">
        <v>68.1123189947726</v>
      </c>
      <c r="H73" s="154">
        <f t="shared" si="2"/>
        <v>66.94054619976775</v>
      </c>
      <c r="I73" s="155">
        <f t="shared" si="3"/>
        <v>64.3106086596995</v>
      </c>
      <c r="J73" s="63">
        <v>65.54655503005526</v>
      </c>
      <c r="K73" s="63">
        <v>64.129544</v>
      </c>
      <c r="L73" s="63">
        <v>64.831128</v>
      </c>
      <c r="M73" s="63">
        <v>69.63298999999999</v>
      </c>
      <c r="N73" s="63">
        <v>66.42229599999999</v>
      </c>
      <c r="O73" s="63">
        <v>65.852318</v>
      </c>
      <c r="P73" s="86"/>
      <c r="Q73" s="103">
        <v>72.0388518669103</v>
      </c>
      <c r="R73" s="103">
        <v>62.4810576805032</v>
      </c>
      <c r="S73" s="103">
        <v>86.1721115126346</v>
      </c>
      <c r="T73" s="103">
        <v>43.6356998779945</v>
      </c>
      <c r="U73" s="103">
        <v>76.2338740358204</v>
      </c>
      <c r="V73" s="86"/>
      <c r="W73" s="158">
        <v>72.3031911332988</v>
      </c>
      <c r="X73" s="158">
        <v>59.7344637699869</v>
      </c>
      <c r="Y73" s="158">
        <v>85.9395338980952</v>
      </c>
      <c r="Z73" s="158">
        <v>47.6702310127275</v>
      </c>
      <c r="AA73" s="158">
        <v>69.0553111847304</v>
      </c>
      <c r="AB73" s="159"/>
      <c r="AC73" s="158">
        <v>69.0226850702977</v>
      </c>
      <c r="AD73" s="158">
        <v>58.026083212053</v>
      </c>
      <c r="AE73" s="158">
        <v>83.2749782432639</v>
      </c>
      <c r="AF73" s="158">
        <v>41.334891129307</v>
      </c>
      <c r="AG73" s="158">
        <v>69.8944056435759</v>
      </c>
      <c r="AH73" s="9"/>
      <c r="AI73" s="63">
        <v>69.1388293541471</v>
      </c>
      <c r="AJ73" s="63">
        <v>59.7892860826443</v>
      </c>
      <c r="AK73" s="63">
        <v>84.3170159302691</v>
      </c>
      <c r="AL73" s="63">
        <v>38.9636068096278</v>
      </c>
      <c r="AM73" s="63">
        <v>75.524036973588</v>
      </c>
      <c r="AN73" s="9"/>
      <c r="AO73" s="50">
        <v>71.40118</v>
      </c>
      <c r="AP73" s="50">
        <v>55.92443</v>
      </c>
      <c r="AQ73" s="50">
        <v>81.13506</v>
      </c>
      <c r="AR73" s="50">
        <v>40.85572</v>
      </c>
      <c r="AS73" s="50">
        <v>71.33133</v>
      </c>
      <c r="AU73" s="50">
        <v>68.77955</v>
      </c>
      <c r="AV73" s="50">
        <v>59.5489</v>
      </c>
      <c r="AW73" s="50">
        <v>81.39794</v>
      </c>
      <c r="AX73" s="50">
        <v>42.85717</v>
      </c>
      <c r="AY73" s="50">
        <v>71.57208</v>
      </c>
      <c r="BA73" s="50">
        <v>72.01943</v>
      </c>
      <c r="BB73" s="50">
        <v>63.67183</v>
      </c>
      <c r="BC73" s="50">
        <v>82.45334</v>
      </c>
      <c r="BD73" s="50">
        <v>51.30767</v>
      </c>
      <c r="BE73" s="50">
        <v>78.71268</v>
      </c>
      <c r="BG73" s="50">
        <v>69.53493</v>
      </c>
      <c r="BH73" s="50">
        <v>59.94289</v>
      </c>
      <c r="BI73" s="50">
        <v>81.77879</v>
      </c>
      <c r="BJ73" s="50">
        <v>44.82458</v>
      </c>
      <c r="BK73" s="50">
        <v>76.03029</v>
      </c>
      <c r="BM73" s="50">
        <v>70.14226</v>
      </c>
      <c r="BN73" s="50">
        <v>60.77172</v>
      </c>
      <c r="BO73" s="50">
        <v>80.9198</v>
      </c>
      <c r="BP73" s="50">
        <v>38.58349</v>
      </c>
      <c r="BQ73" s="50">
        <v>78.84432</v>
      </c>
    </row>
    <row r="74" spans="1:69" ht="12.75">
      <c r="A74" s="2">
        <f>VLOOKUP(E74,'SHA cluster table data'!B72:C241,2,FALSE)</f>
        <v>69</v>
      </c>
      <c r="B74" s="2">
        <v>71</v>
      </c>
      <c r="C74" s="42" t="str">
        <f>VLOOKUP(E74,'SHA cluster table data'!$B$4:$G$171,6,FALSE)</f>
        <v>Q34</v>
      </c>
      <c r="D74" s="42" t="s">
        <v>255</v>
      </c>
      <c r="E74" s="71" t="s">
        <v>365</v>
      </c>
      <c r="F74" s="71">
        <v>71</v>
      </c>
      <c r="G74" s="104">
        <v>71.4641704760424</v>
      </c>
      <c r="H74" s="154">
        <f t="shared" si="2"/>
        <v>67.92946169324964</v>
      </c>
      <c r="I74" s="155">
        <f t="shared" si="3"/>
        <v>66.3748661269461</v>
      </c>
      <c r="J74" s="63">
        <v>62.313928510268546</v>
      </c>
      <c r="K74" s="63">
        <v>66.20708199999999</v>
      </c>
      <c r="L74" s="63">
        <v>61.49005999999999</v>
      </c>
      <c r="M74" s="63">
        <v>68.851958</v>
      </c>
      <c r="N74" s="63">
        <v>71.29125200000001</v>
      </c>
      <c r="O74" s="63">
        <v>65.80007</v>
      </c>
      <c r="P74" s="86"/>
      <c r="Q74" s="103">
        <v>74.7259459855376</v>
      </c>
      <c r="R74" s="103">
        <v>64.2880457946785</v>
      </c>
      <c r="S74" s="103">
        <v>84.5868382685775</v>
      </c>
      <c r="T74" s="103">
        <v>54.7397002636609</v>
      </c>
      <c r="U74" s="103">
        <v>78.9803220677576</v>
      </c>
      <c r="V74" s="86"/>
      <c r="W74" s="158">
        <v>71.0494369369428</v>
      </c>
      <c r="X74" s="158">
        <v>62.4640516419785</v>
      </c>
      <c r="Y74" s="158">
        <v>81.4873564125953</v>
      </c>
      <c r="Z74" s="158">
        <v>46.6467795011747</v>
      </c>
      <c r="AA74" s="158">
        <v>77.9996839735569</v>
      </c>
      <c r="AB74" s="159"/>
      <c r="AC74" s="158">
        <v>70.242952249108</v>
      </c>
      <c r="AD74" s="158">
        <v>60.3908585649615</v>
      </c>
      <c r="AE74" s="158">
        <v>78.1017995053382</v>
      </c>
      <c r="AF74" s="158">
        <v>48.1434492864513</v>
      </c>
      <c r="AG74" s="158">
        <v>74.9952710288715</v>
      </c>
      <c r="AH74" s="9"/>
      <c r="AI74" s="63">
        <v>65.0044293682193</v>
      </c>
      <c r="AJ74" s="63">
        <v>57.1453214499436</v>
      </c>
      <c r="AK74" s="63">
        <v>76.2882198086264</v>
      </c>
      <c r="AL74" s="63">
        <v>40.9326198331189</v>
      </c>
      <c r="AM74" s="63">
        <v>72.1990520914345</v>
      </c>
      <c r="AN74" s="9"/>
      <c r="AO74" s="50">
        <v>69.58915</v>
      </c>
      <c r="AP74" s="50">
        <v>57.2384</v>
      </c>
      <c r="AQ74" s="50">
        <v>78.72173</v>
      </c>
      <c r="AR74" s="50">
        <v>51.82208</v>
      </c>
      <c r="AS74" s="50">
        <v>73.66405</v>
      </c>
      <c r="AU74" s="50">
        <v>65.13091</v>
      </c>
      <c r="AV74" s="50">
        <v>53.02396</v>
      </c>
      <c r="AW74" s="50">
        <v>77.31042</v>
      </c>
      <c r="AX74" s="50">
        <v>44.71588</v>
      </c>
      <c r="AY74" s="50">
        <v>67.26913</v>
      </c>
      <c r="BA74" s="50">
        <v>72.72966</v>
      </c>
      <c r="BB74" s="50">
        <v>58.77514</v>
      </c>
      <c r="BC74" s="50">
        <v>80.27345</v>
      </c>
      <c r="BD74" s="50">
        <v>53.5037</v>
      </c>
      <c r="BE74" s="50">
        <v>78.97784</v>
      </c>
      <c r="BG74" s="50">
        <v>74.5965</v>
      </c>
      <c r="BH74" s="50">
        <v>67.46615</v>
      </c>
      <c r="BI74" s="50">
        <v>81.89089</v>
      </c>
      <c r="BJ74" s="50">
        <v>54.82162</v>
      </c>
      <c r="BK74" s="50">
        <v>77.6811</v>
      </c>
      <c r="BM74" s="50">
        <v>69.03477</v>
      </c>
      <c r="BN74" s="50">
        <v>61.19934</v>
      </c>
      <c r="BO74" s="50">
        <v>79.67856</v>
      </c>
      <c r="BP74" s="50">
        <v>45.60318</v>
      </c>
      <c r="BQ74" s="50">
        <v>73.4845</v>
      </c>
    </row>
    <row r="75" spans="1:69" ht="12.75">
      <c r="A75" s="2">
        <f>VLOOKUP(E75,'SHA cluster table data'!B73:C242,2,FALSE)</f>
        <v>70</v>
      </c>
      <c r="B75" s="1">
        <v>72</v>
      </c>
      <c r="C75" s="42" t="str">
        <f>VLOOKUP(E75,'SHA cluster table data'!$B$4:$G$171,6,FALSE)</f>
        <v>Q31</v>
      </c>
      <c r="D75" s="42" t="s">
        <v>213</v>
      </c>
      <c r="E75" s="71" t="s">
        <v>329</v>
      </c>
      <c r="F75" s="71">
        <v>72</v>
      </c>
      <c r="G75" s="104">
        <v>66.5242345158583</v>
      </c>
      <c r="H75" s="154">
        <f t="shared" si="2"/>
        <v>65.75663494312889</v>
      </c>
      <c r="I75" s="155">
        <f t="shared" si="3"/>
        <v>62.39637608078281</v>
      </c>
      <c r="J75" s="63">
        <v>60.40720303833706</v>
      </c>
      <c r="K75" s="63">
        <v>61.994498</v>
      </c>
      <c r="L75" s="63">
        <v>61.879938</v>
      </c>
      <c r="M75" s="63">
        <v>65.50621199999999</v>
      </c>
      <c r="N75" s="63">
        <v>65.50846399999999</v>
      </c>
      <c r="O75" s="63">
        <v>64.414256</v>
      </c>
      <c r="P75" s="86"/>
      <c r="Q75" s="103">
        <v>73.7594412000958</v>
      </c>
      <c r="R75" s="103">
        <v>54.8436384439824</v>
      </c>
      <c r="S75" s="103">
        <v>85.4561633606924</v>
      </c>
      <c r="T75" s="103">
        <v>46.3705932626208</v>
      </c>
      <c r="U75" s="103">
        <v>72.1913363119</v>
      </c>
      <c r="V75" s="86"/>
      <c r="W75" s="158">
        <v>72.091808850702</v>
      </c>
      <c r="X75" s="158">
        <v>58.6234024658897</v>
      </c>
      <c r="Y75" s="158">
        <v>85.4639693101433</v>
      </c>
      <c r="Z75" s="158">
        <v>41.4575371983617</v>
      </c>
      <c r="AA75" s="158">
        <v>71.1464568905477</v>
      </c>
      <c r="AB75" s="159"/>
      <c r="AC75" s="158">
        <v>69.4419004576941</v>
      </c>
      <c r="AD75" s="158">
        <v>58.3376584755469</v>
      </c>
      <c r="AE75" s="158">
        <v>76.6008126832517</v>
      </c>
      <c r="AF75" s="158">
        <v>36.668517553161</v>
      </c>
      <c r="AG75" s="158">
        <v>70.9329912342603</v>
      </c>
      <c r="AH75" s="9"/>
      <c r="AI75" s="63">
        <v>68.6429546706929</v>
      </c>
      <c r="AJ75" s="63">
        <v>56.1074382538135</v>
      </c>
      <c r="AK75" s="63">
        <v>73.7047324161453</v>
      </c>
      <c r="AL75" s="63">
        <v>38.594958325154</v>
      </c>
      <c r="AM75" s="63">
        <v>64.9859315258796</v>
      </c>
      <c r="AN75" s="9"/>
      <c r="AO75" s="50">
        <v>68.55875</v>
      </c>
      <c r="AP75" s="50">
        <v>57.34766</v>
      </c>
      <c r="AQ75" s="50">
        <v>73.88306</v>
      </c>
      <c r="AR75" s="50">
        <v>40.90456</v>
      </c>
      <c r="AS75" s="50">
        <v>69.27846</v>
      </c>
      <c r="AU75" s="50">
        <v>69.03467</v>
      </c>
      <c r="AV75" s="50">
        <v>55.67609</v>
      </c>
      <c r="AW75" s="50">
        <v>78.3263</v>
      </c>
      <c r="AX75" s="50">
        <v>36.95471</v>
      </c>
      <c r="AY75" s="50">
        <v>69.40792</v>
      </c>
      <c r="BA75" s="50">
        <v>72.60798</v>
      </c>
      <c r="BB75" s="50">
        <v>61.30906</v>
      </c>
      <c r="BC75" s="50">
        <v>76.6457</v>
      </c>
      <c r="BD75" s="50">
        <v>39.47445</v>
      </c>
      <c r="BE75" s="50">
        <v>77.49387</v>
      </c>
      <c r="BG75" s="50">
        <v>70.22945</v>
      </c>
      <c r="BH75" s="50">
        <v>61.72306</v>
      </c>
      <c r="BI75" s="50">
        <v>78.37128</v>
      </c>
      <c r="BJ75" s="50">
        <v>44.20539</v>
      </c>
      <c r="BK75" s="50">
        <v>73.01314</v>
      </c>
      <c r="BM75" s="50">
        <v>69.81793</v>
      </c>
      <c r="BN75" s="50">
        <v>61.15789</v>
      </c>
      <c r="BO75" s="50">
        <v>76.2914</v>
      </c>
      <c r="BP75" s="50">
        <v>41.69835</v>
      </c>
      <c r="BQ75" s="50">
        <v>73.10571</v>
      </c>
    </row>
    <row r="76" spans="1:69" ht="12.75">
      <c r="A76" s="2">
        <f>VLOOKUP(E76,'SHA cluster table data'!B74:C243,2,FALSE)</f>
        <v>71</v>
      </c>
      <c r="B76" s="2">
        <v>73</v>
      </c>
      <c r="C76" s="42" t="str">
        <f>VLOOKUP(E76,'SHA cluster table data'!$B$4:$G$171,6,FALSE)</f>
        <v>Q34</v>
      </c>
      <c r="D76" s="42" t="s">
        <v>97</v>
      </c>
      <c r="E76" s="71" t="s">
        <v>276</v>
      </c>
      <c r="F76" s="71">
        <v>73</v>
      </c>
      <c r="G76" s="104">
        <v>63.6946515727854</v>
      </c>
      <c r="H76" s="154">
        <f t="shared" si="2"/>
        <v>65.04621987533878</v>
      </c>
      <c r="I76" s="155">
        <f t="shared" si="3"/>
        <v>62.65960529158882</v>
      </c>
      <c r="J76" s="63">
        <v>62.31916070089876</v>
      </c>
      <c r="K76" s="63">
        <v>66.059286</v>
      </c>
      <c r="L76" s="63">
        <v>65.32770000000001</v>
      </c>
      <c r="M76" s="63">
        <v>64.471844</v>
      </c>
      <c r="N76" s="63">
        <v>71.966508</v>
      </c>
      <c r="O76" s="63">
        <v>63.45873200000001</v>
      </c>
      <c r="P76" s="86"/>
      <c r="Q76" s="103">
        <v>68.6916709283786</v>
      </c>
      <c r="R76" s="103">
        <v>49.6307359688722</v>
      </c>
      <c r="S76" s="103">
        <v>83.7810184287997</v>
      </c>
      <c r="T76" s="103">
        <v>41.1477040083002</v>
      </c>
      <c r="U76" s="103">
        <v>75.2221285295762</v>
      </c>
      <c r="V76" s="86"/>
      <c r="W76" s="158">
        <v>69.679172296789</v>
      </c>
      <c r="X76" s="158">
        <v>54.7035010222524</v>
      </c>
      <c r="Y76" s="158">
        <v>81.345567364451</v>
      </c>
      <c r="Z76" s="158">
        <v>45.5485964638254</v>
      </c>
      <c r="AA76" s="158">
        <v>73.9542622293761</v>
      </c>
      <c r="AB76" s="159"/>
      <c r="AC76" s="158">
        <v>67.2073279353903</v>
      </c>
      <c r="AD76" s="158">
        <v>55.7159239660075</v>
      </c>
      <c r="AE76" s="158">
        <v>77.9754001685505</v>
      </c>
      <c r="AF76" s="158">
        <v>38.2513016279595</v>
      </c>
      <c r="AG76" s="158">
        <v>74.1480727600363</v>
      </c>
      <c r="AH76" s="9"/>
      <c r="AI76" s="63">
        <v>67.8305418699559</v>
      </c>
      <c r="AJ76" s="63">
        <v>54.6875937800766</v>
      </c>
      <c r="AK76" s="63">
        <v>80.2043942144218</v>
      </c>
      <c r="AL76" s="63">
        <v>36.241171982811</v>
      </c>
      <c r="AM76" s="63">
        <v>72.6321016572285</v>
      </c>
      <c r="AN76" s="9"/>
      <c r="AO76" s="50">
        <v>69.0458</v>
      </c>
      <c r="AP76" s="50">
        <v>56.86675</v>
      </c>
      <c r="AQ76" s="50">
        <v>80.66299</v>
      </c>
      <c r="AR76" s="50">
        <v>46.06048</v>
      </c>
      <c r="AS76" s="50">
        <v>77.66041</v>
      </c>
      <c r="AU76" s="50">
        <v>68.38175</v>
      </c>
      <c r="AV76" s="50">
        <v>58.03809</v>
      </c>
      <c r="AW76" s="50">
        <v>81.43404</v>
      </c>
      <c r="AX76" s="50">
        <v>44.15108</v>
      </c>
      <c r="AY76" s="50">
        <v>74.63354</v>
      </c>
      <c r="BA76" s="50">
        <v>68.32288</v>
      </c>
      <c r="BB76" s="50">
        <v>53.16049</v>
      </c>
      <c r="BC76" s="50">
        <v>81.82828</v>
      </c>
      <c r="BD76" s="50">
        <v>46.81575</v>
      </c>
      <c r="BE76" s="50">
        <v>72.23182</v>
      </c>
      <c r="BG76" s="50">
        <v>77.61016</v>
      </c>
      <c r="BH76" s="50">
        <v>65.21564</v>
      </c>
      <c r="BI76" s="50">
        <v>84.41566</v>
      </c>
      <c r="BJ76" s="50">
        <v>52.63551</v>
      </c>
      <c r="BK76" s="50">
        <v>79.95557</v>
      </c>
      <c r="BM76" s="50">
        <v>64.14624</v>
      </c>
      <c r="BN76" s="50">
        <v>53.85282</v>
      </c>
      <c r="BO76" s="50">
        <v>77.80544</v>
      </c>
      <c r="BP76" s="50">
        <v>47.89526</v>
      </c>
      <c r="BQ76" s="50">
        <v>73.5939</v>
      </c>
    </row>
    <row r="77" spans="1:71" ht="12.75">
      <c r="A77" s="2">
        <f>VLOOKUP(E77,'SHA cluster table data'!B75:C244,2,FALSE)</f>
      </c>
      <c r="B77" s="2">
        <v>74</v>
      </c>
      <c r="C77" s="42" t="str">
        <f>VLOOKUP(E77,'SHA cluster table data'!$B$4:$G$171,6,FALSE)</f>
        <v>Q36</v>
      </c>
      <c r="D77" s="23" t="s">
        <v>25</v>
      </c>
      <c r="E77" s="71" t="s">
        <v>279</v>
      </c>
      <c r="F77" s="71">
        <v>74</v>
      </c>
      <c r="G77" s="104" t="s">
        <v>426</v>
      </c>
      <c r="H77" s="154">
        <f t="shared" si="2"/>
        <v>62.818381345665856</v>
      </c>
      <c r="I77" s="155">
        <f t="shared" si="3"/>
        <v>66.39849274919926</v>
      </c>
      <c r="J77" s="63">
        <v>67.46493943843787</v>
      </c>
      <c r="K77" s="63">
        <v>61.701406</v>
      </c>
      <c r="L77" s="63">
        <v>59.733254</v>
      </c>
      <c r="M77" s="63">
        <v>57.628968</v>
      </c>
      <c r="N77" s="63">
        <v>56.757872</v>
      </c>
      <c r="O77" s="63">
        <v>56.524112</v>
      </c>
      <c r="P77" s="86"/>
      <c r="Q77" s="103" t="s">
        <v>426</v>
      </c>
      <c r="R77" s="103" t="s">
        <v>426</v>
      </c>
      <c r="S77" s="103" t="s">
        <v>426</v>
      </c>
      <c r="T77" s="103" t="s">
        <v>426</v>
      </c>
      <c r="U77" s="103" t="s">
        <v>426</v>
      </c>
      <c r="V77" s="86"/>
      <c r="W77" s="158">
        <v>64.0734448079553</v>
      </c>
      <c r="X77" s="158">
        <v>51.1862884593013</v>
      </c>
      <c r="Y77" s="158">
        <v>80.2770231417375</v>
      </c>
      <c r="Z77" s="158">
        <v>45.0152205822567</v>
      </c>
      <c r="AA77" s="158">
        <v>73.5399297370785</v>
      </c>
      <c r="AB77" s="159"/>
      <c r="AC77" s="158">
        <v>71.7989195107682</v>
      </c>
      <c r="AD77" s="158">
        <v>51.9121472495367</v>
      </c>
      <c r="AE77" s="158">
        <v>83.0192653790799</v>
      </c>
      <c r="AF77" s="158">
        <v>52.8706541605668</v>
      </c>
      <c r="AG77" s="158">
        <v>72.3914774460447</v>
      </c>
      <c r="AH77" s="9"/>
      <c r="AI77" s="63">
        <v>69.0896477062651</v>
      </c>
      <c r="AJ77" s="63">
        <v>56.1264953510165</v>
      </c>
      <c r="AK77" s="63">
        <v>82.0411306266994</v>
      </c>
      <c r="AL77" s="63">
        <v>52.3780082201555</v>
      </c>
      <c r="AM77" s="63">
        <v>77.6894152880528</v>
      </c>
      <c r="AN77" s="9"/>
      <c r="AO77" s="50">
        <v>64.83062</v>
      </c>
      <c r="AP77" s="50">
        <v>53.19087</v>
      </c>
      <c r="AQ77" s="50">
        <v>76.26846</v>
      </c>
      <c r="AR77" s="50">
        <v>43.52541</v>
      </c>
      <c r="AS77" s="50">
        <v>70.69167</v>
      </c>
      <c r="AU77" s="50">
        <v>65.55648</v>
      </c>
      <c r="AV77" s="50">
        <v>48.11027</v>
      </c>
      <c r="AW77" s="50">
        <v>75.0252</v>
      </c>
      <c r="AX77" s="50">
        <v>42.76733</v>
      </c>
      <c r="AY77" s="50">
        <v>67.20699</v>
      </c>
      <c r="BA77" s="50">
        <v>61.02279</v>
      </c>
      <c r="BB77" s="50">
        <v>49.16074</v>
      </c>
      <c r="BC77" s="50">
        <v>78.08337</v>
      </c>
      <c r="BD77" s="50">
        <v>38.04071</v>
      </c>
      <c r="BE77" s="50">
        <v>61.83723</v>
      </c>
      <c r="BG77" s="50">
        <v>58.82113</v>
      </c>
      <c r="BH77" s="50">
        <v>42.66796</v>
      </c>
      <c r="BI77" s="50">
        <v>78.11474</v>
      </c>
      <c r="BJ77" s="50">
        <v>38.23542</v>
      </c>
      <c r="BK77" s="50">
        <v>65.95011</v>
      </c>
      <c r="BM77" s="50">
        <v>58.42372</v>
      </c>
      <c r="BN77" s="50">
        <v>44.6846</v>
      </c>
      <c r="BO77" s="50">
        <v>78.06174</v>
      </c>
      <c r="BP77" s="50">
        <v>39.07312</v>
      </c>
      <c r="BQ77" s="50">
        <v>62.37738</v>
      </c>
      <c r="BS77" s="210" t="s">
        <v>485</v>
      </c>
    </row>
    <row r="78" spans="1:69" ht="12.75">
      <c r="A78" s="2">
        <f>VLOOKUP(E78,'SHA cluster table data'!B75:C245,2,FALSE)</f>
        <v>72</v>
      </c>
      <c r="B78" s="2">
        <v>75</v>
      </c>
      <c r="C78" s="42" t="str">
        <f>VLOOKUP(E78,'SHA cluster table data'!$B$4:$G$171,6,FALSE)</f>
        <v>Q34</v>
      </c>
      <c r="D78" s="42" t="s">
        <v>259</v>
      </c>
      <c r="E78" s="71" t="s">
        <v>393</v>
      </c>
      <c r="F78" s="71">
        <v>75</v>
      </c>
      <c r="G78" s="104">
        <v>67.6286742083671</v>
      </c>
      <c r="H78" s="154">
        <f t="shared" si="2"/>
        <v>69.14594874616085</v>
      </c>
      <c r="I78" s="155">
        <f t="shared" si="3"/>
        <v>69.24945534975672</v>
      </c>
      <c r="J78" s="63">
        <v>68.90255687511139</v>
      </c>
      <c r="K78" s="63">
        <v>68.11656</v>
      </c>
      <c r="L78" s="63">
        <v>69.98183399999998</v>
      </c>
      <c r="M78" s="63">
        <v>75.648826</v>
      </c>
      <c r="N78" s="63">
        <v>71.450702</v>
      </c>
      <c r="O78" s="63">
        <v>67.92006599999999</v>
      </c>
      <c r="P78" s="86"/>
      <c r="Q78" s="103">
        <v>74.3790618824998</v>
      </c>
      <c r="R78" s="103">
        <v>53.3561694051972</v>
      </c>
      <c r="S78" s="103">
        <v>88.2078051443023</v>
      </c>
      <c r="T78" s="103">
        <v>44.232675583444</v>
      </c>
      <c r="U78" s="103">
        <v>77.9676590263921</v>
      </c>
      <c r="V78" s="86"/>
      <c r="W78" s="158">
        <v>73.3096700321527</v>
      </c>
      <c r="X78" s="158">
        <v>58.084037794759</v>
      </c>
      <c r="Y78" s="158">
        <v>86.7589291186275</v>
      </c>
      <c r="Z78" s="158">
        <v>48.4940540045055</v>
      </c>
      <c r="AA78" s="158">
        <v>79.0830527807596</v>
      </c>
      <c r="AB78" s="159"/>
      <c r="AC78" s="158">
        <v>73.3150446593426</v>
      </c>
      <c r="AD78" s="158">
        <v>58.5379741761611</v>
      </c>
      <c r="AE78" s="158">
        <v>82.8120034133704</v>
      </c>
      <c r="AF78" s="158">
        <v>51.1905795589138</v>
      </c>
      <c r="AG78" s="158">
        <v>80.3916749409957</v>
      </c>
      <c r="AH78" s="9"/>
      <c r="AI78" s="63">
        <v>72.9613917726348</v>
      </c>
      <c r="AJ78" s="63">
        <v>60.2729998434935</v>
      </c>
      <c r="AK78" s="63">
        <v>85.5174155184753</v>
      </c>
      <c r="AL78" s="63">
        <v>52.8951942989097</v>
      </c>
      <c r="AM78" s="63">
        <v>72.8657829420436</v>
      </c>
      <c r="AN78" s="9"/>
      <c r="AO78" s="50">
        <v>72.12118</v>
      </c>
      <c r="AP78" s="50">
        <v>61.46336</v>
      </c>
      <c r="AQ78" s="50">
        <v>84.78769</v>
      </c>
      <c r="AR78" s="50">
        <v>46.03729</v>
      </c>
      <c r="AS78" s="50">
        <v>76.17328</v>
      </c>
      <c r="AU78" s="50">
        <v>74.66689</v>
      </c>
      <c r="AV78" s="50">
        <v>64.35847</v>
      </c>
      <c r="AW78" s="50">
        <v>81.12539</v>
      </c>
      <c r="AX78" s="50">
        <v>55.96473</v>
      </c>
      <c r="AY78" s="50">
        <v>73.79369</v>
      </c>
      <c r="BA78" s="50">
        <v>79.09708</v>
      </c>
      <c r="BB78" s="50">
        <v>65.02067</v>
      </c>
      <c r="BC78" s="50">
        <v>84.79357</v>
      </c>
      <c r="BD78" s="50">
        <v>65.23073</v>
      </c>
      <c r="BE78" s="50">
        <v>84.10208</v>
      </c>
      <c r="BG78" s="50">
        <v>74.97888</v>
      </c>
      <c r="BH78" s="50">
        <v>66.57159</v>
      </c>
      <c r="BI78" s="50">
        <v>89.84012</v>
      </c>
      <c r="BJ78" s="50">
        <v>43.78151</v>
      </c>
      <c r="BK78" s="50">
        <v>82.08141</v>
      </c>
      <c r="BM78" s="50">
        <v>72.91572</v>
      </c>
      <c r="BN78" s="50">
        <v>60.3087</v>
      </c>
      <c r="BO78" s="50">
        <v>83.4827</v>
      </c>
      <c r="BP78" s="50">
        <v>48.57876</v>
      </c>
      <c r="BQ78" s="50">
        <v>74.31445</v>
      </c>
    </row>
    <row r="79" spans="1:69" ht="12.75">
      <c r="A79" s="2">
        <f>VLOOKUP(E79,'SHA cluster table data'!B76:C246,2,FALSE)</f>
        <v>73</v>
      </c>
      <c r="B79" s="1">
        <v>76</v>
      </c>
      <c r="C79" s="42" t="str">
        <f>VLOOKUP(E79,'SHA cluster table data'!$B$4:$G$171,6,FALSE)</f>
        <v>Q39</v>
      </c>
      <c r="D79" s="42" t="s">
        <v>69</v>
      </c>
      <c r="E79" s="71" t="s">
        <v>405</v>
      </c>
      <c r="F79" s="71">
        <v>76</v>
      </c>
      <c r="G79" s="104">
        <v>69.1503353703965</v>
      </c>
      <c r="H79" s="154">
        <f t="shared" si="2"/>
        <v>68.54507718035902</v>
      </c>
      <c r="I79" s="155">
        <f t="shared" si="3"/>
        <v>67.87941263516913</v>
      </c>
      <c r="J79" s="63">
        <v>67.42275280743357</v>
      </c>
      <c r="K79" s="63">
        <v>67.271198</v>
      </c>
      <c r="L79" s="63">
        <v>65.933584</v>
      </c>
      <c r="M79" s="63">
        <v>68.52993799999999</v>
      </c>
      <c r="N79" s="63">
        <v>67.47057600000001</v>
      </c>
      <c r="O79" s="63">
        <v>66.1168</v>
      </c>
      <c r="P79" s="86"/>
      <c r="Q79" s="103">
        <v>71.2128117393586</v>
      </c>
      <c r="R79" s="103">
        <v>60.0438883338228</v>
      </c>
      <c r="S79" s="103">
        <v>79.970574966834</v>
      </c>
      <c r="T79" s="103">
        <v>51.2198111484185</v>
      </c>
      <c r="U79" s="103">
        <v>83.3045906635487</v>
      </c>
      <c r="V79" s="86"/>
      <c r="W79" s="158">
        <v>71.5890724982175</v>
      </c>
      <c r="X79" s="158">
        <v>59.6923292583429</v>
      </c>
      <c r="Y79" s="158">
        <v>81.8156242989383</v>
      </c>
      <c r="Z79" s="158">
        <v>47.8858763199005</v>
      </c>
      <c r="AA79" s="158">
        <v>81.7424835263959</v>
      </c>
      <c r="AB79" s="159"/>
      <c r="AC79" s="158">
        <v>69.9203173177432</v>
      </c>
      <c r="AD79" s="158">
        <v>60.6320415638363</v>
      </c>
      <c r="AE79" s="158">
        <v>82.9699595211406</v>
      </c>
      <c r="AF79" s="158">
        <v>47.11004596313</v>
      </c>
      <c r="AG79" s="158">
        <v>78.7646988099956</v>
      </c>
      <c r="AH79" s="9"/>
      <c r="AI79" s="63">
        <v>73.5129173797428</v>
      </c>
      <c r="AJ79" s="63">
        <v>59.9924955644847</v>
      </c>
      <c r="AK79" s="63">
        <v>80.8420649325128</v>
      </c>
      <c r="AL79" s="63">
        <v>45.5520096951465</v>
      </c>
      <c r="AM79" s="63">
        <v>77.214276465281</v>
      </c>
      <c r="AN79" s="9"/>
      <c r="AO79" s="50">
        <v>70.54626</v>
      </c>
      <c r="AP79" s="50">
        <v>62.19876</v>
      </c>
      <c r="AQ79" s="50">
        <v>78.08023</v>
      </c>
      <c r="AR79" s="50">
        <v>47.30007</v>
      </c>
      <c r="AS79" s="50">
        <v>78.23067</v>
      </c>
      <c r="AU79" s="50">
        <v>70.78171</v>
      </c>
      <c r="AV79" s="50">
        <v>59.34346</v>
      </c>
      <c r="AW79" s="50">
        <v>78.8362</v>
      </c>
      <c r="AX79" s="50">
        <v>44.85438</v>
      </c>
      <c r="AY79" s="50">
        <v>75.85217</v>
      </c>
      <c r="BA79" s="50">
        <v>72.56984</v>
      </c>
      <c r="BB79" s="50">
        <v>62.457</v>
      </c>
      <c r="BC79" s="50">
        <v>78.11568</v>
      </c>
      <c r="BD79" s="50">
        <v>48.48845</v>
      </c>
      <c r="BE79" s="50">
        <v>81.01872</v>
      </c>
      <c r="BG79" s="50">
        <v>71.44329</v>
      </c>
      <c r="BH79" s="50">
        <v>61.06679</v>
      </c>
      <c r="BI79" s="50">
        <v>78.8903</v>
      </c>
      <c r="BJ79" s="50">
        <v>48.9665</v>
      </c>
      <c r="BK79" s="50">
        <v>76.986</v>
      </c>
      <c r="BM79" s="50">
        <v>71.62791</v>
      </c>
      <c r="BN79" s="50">
        <v>56.22854</v>
      </c>
      <c r="BO79" s="50">
        <v>79.18846</v>
      </c>
      <c r="BP79" s="50">
        <v>47.38801</v>
      </c>
      <c r="BQ79" s="50">
        <v>76.15108</v>
      </c>
    </row>
    <row r="80" spans="1:69" ht="12.75">
      <c r="A80" s="2">
        <f>VLOOKUP(E80,'SHA cluster table data'!B77:C247,2,FALSE)</f>
        <v>74</v>
      </c>
      <c r="B80" s="2">
        <v>77</v>
      </c>
      <c r="C80" s="42" t="str">
        <f>VLOOKUP(E80,'SHA cluster table data'!$B$4:$G$171,6,FALSE)</f>
        <v>Q31</v>
      </c>
      <c r="D80" s="42" t="s">
        <v>99</v>
      </c>
      <c r="E80" s="71" t="s">
        <v>280</v>
      </c>
      <c r="F80" s="71">
        <v>77</v>
      </c>
      <c r="G80" s="104">
        <v>66.2311738697655</v>
      </c>
      <c r="H80" s="154">
        <f t="shared" si="2"/>
        <v>66.34627439132649</v>
      </c>
      <c r="I80" s="155">
        <f t="shared" si="3"/>
        <v>64.39642783079674</v>
      </c>
      <c r="J80" s="63">
        <v>65.62532155588882</v>
      </c>
      <c r="K80" s="63">
        <v>68.338616</v>
      </c>
      <c r="L80" s="63">
        <v>67.892212</v>
      </c>
      <c r="M80" s="63">
        <v>67.153574</v>
      </c>
      <c r="N80" s="63">
        <v>68.193072</v>
      </c>
      <c r="O80" s="63">
        <v>69.403726</v>
      </c>
      <c r="P80" s="86"/>
      <c r="Q80" s="103">
        <v>72.1967561633658</v>
      </c>
      <c r="R80" s="103">
        <v>55.1510177377106</v>
      </c>
      <c r="S80" s="103">
        <v>81.8619725214324</v>
      </c>
      <c r="T80" s="103">
        <v>48.3214109002591</v>
      </c>
      <c r="U80" s="103">
        <v>73.6247120260595</v>
      </c>
      <c r="V80" s="86"/>
      <c r="W80" s="158">
        <v>71.2578574338688</v>
      </c>
      <c r="X80" s="158">
        <v>60.779715015288</v>
      </c>
      <c r="Y80" s="158">
        <v>81.0365652235707</v>
      </c>
      <c r="Z80" s="158">
        <v>48.7469534414301</v>
      </c>
      <c r="AA80" s="158">
        <v>69.9102808424749</v>
      </c>
      <c r="AB80" s="159"/>
      <c r="AC80" s="158">
        <v>71.7189667262622</v>
      </c>
      <c r="AD80" s="158">
        <v>59.722717891857</v>
      </c>
      <c r="AE80" s="158">
        <v>79.3829007493116</v>
      </c>
      <c r="AF80" s="158">
        <v>39.1169165528526</v>
      </c>
      <c r="AG80" s="158">
        <v>72.0406372337003</v>
      </c>
      <c r="AH80" s="9"/>
      <c r="AI80" s="63">
        <v>71.7425625444198</v>
      </c>
      <c r="AJ80" s="63">
        <v>59.7405508810652</v>
      </c>
      <c r="AK80" s="63">
        <v>77.1418171969551</v>
      </c>
      <c r="AL80" s="63">
        <v>43.886441698152</v>
      </c>
      <c r="AM80" s="63">
        <v>75.615235458852</v>
      </c>
      <c r="AN80" s="9"/>
      <c r="AO80" s="50">
        <v>73.87359</v>
      </c>
      <c r="AP80" s="50">
        <v>64.30312</v>
      </c>
      <c r="AQ80" s="50">
        <v>80.50722</v>
      </c>
      <c r="AR80" s="50">
        <v>49.97947</v>
      </c>
      <c r="AS80" s="50">
        <v>73.02968</v>
      </c>
      <c r="AU80" s="50">
        <v>72.58891</v>
      </c>
      <c r="AV80" s="50">
        <v>62.74515</v>
      </c>
      <c r="AW80" s="50">
        <v>76.56492</v>
      </c>
      <c r="AX80" s="50">
        <v>51.62746</v>
      </c>
      <c r="AY80" s="50">
        <v>75.93462</v>
      </c>
      <c r="BA80" s="50">
        <v>72.6665</v>
      </c>
      <c r="BB80" s="50">
        <v>61.17452</v>
      </c>
      <c r="BC80" s="50">
        <v>77.90469</v>
      </c>
      <c r="BD80" s="50">
        <v>52.29203</v>
      </c>
      <c r="BE80" s="50">
        <v>71.73013</v>
      </c>
      <c r="BG80" s="50">
        <v>71.14977</v>
      </c>
      <c r="BH80" s="50">
        <v>62.36053</v>
      </c>
      <c r="BI80" s="50">
        <v>80.5797</v>
      </c>
      <c r="BJ80" s="50">
        <v>50.85454</v>
      </c>
      <c r="BK80" s="50">
        <v>76.02082</v>
      </c>
      <c r="BM80" s="50">
        <v>72.84462</v>
      </c>
      <c r="BN80" s="50">
        <v>62.05799</v>
      </c>
      <c r="BO80" s="50">
        <v>79.47189</v>
      </c>
      <c r="BP80" s="50">
        <v>52.34715</v>
      </c>
      <c r="BQ80" s="50">
        <v>80.29698</v>
      </c>
    </row>
    <row r="81" spans="1:69" ht="12.75">
      <c r="A81" s="2">
        <f>VLOOKUP(E81,'SHA cluster table data'!B78:C248,2,FALSE)</f>
        <v>75</v>
      </c>
      <c r="B81" s="2">
        <v>78</v>
      </c>
      <c r="C81" s="42" t="str">
        <f>VLOOKUP(E81,'SHA cluster table data'!$B$4:$G$171,6,FALSE)</f>
        <v>Q36</v>
      </c>
      <c r="D81" s="42" t="s">
        <v>133</v>
      </c>
      <c r="E81" s="71" t="s">
        <v>281</v>
      </c>
      <c r="F81" s="71">
        <v>78</v>
      </c>
      <c r="G81" s="104">
        <v>65.9830844024326</v>
      </c>
      <c r="H81" s="154">
        <f t="shared" si="2"/>
        <v>63.42453223181631</v>
      </c>
      <c r="I81" s="155">
        <f t="shared" si="3"/>
        <v>60.86719792537498</v>
      </c>
      <c r="J81" s="63">
        <v>60.84018812120546</v>
      </c>
      <c r="K81" s="63">
        <v>59.829013999999994</v>
      </c>
      <c r="L81" s="63">
        <v>60.418646</v>
      </c>
      <c r="M81" s="63">
        <v>58.89289599999999</v>
      </c>
      <c r="N81" s="63">
        <v>57.975768</v>
      </c>
      <c r="O81" s="63">
        <v>57.354414</v>
      </c>
      <c r="P81" s="86"/>
      <c r="Q81" s="103">
        <v>68.696931862919</v>
      </c>
      <c r="R81" s="103">
        <v>53.0637542987562</v>
      </c>
      <c r="S81" s="103">
        <v>84.9643022404688</v>
      </c>
      <c r="T81" s="103">
        <v>47.0238648087455</v>
      </c>
      <c r="U81" s="103">
        <v>76.1665688012733</v>
      </c>
      <c r="V81" s="86"/>
      <c r="W81" s="158">
        <v>64.9013338704401</v>
      </c>
      <c r="X81" s="158">
        <v>53.6056553246968</v>
      </c>
      <c r="Y81" s="158">
        <v>82.0427505252116</v>
      </c>
      <c r="Z81" s="158">
        <v>46.4435956456864</v>
      </c>
      <c r="AA81" s="158">
        <v>70.1293257930466</v>
      </c>
      <c r="AB81" s="159"/>
      <c r="AC81" s="158">
        <v>62.946752543101</v>
      </c>
      <c r="AD81" s="158">
        <v>51.3905624957694</v>
      </c>
      <c r="AE81" s="158">
        <v>82.7387912737019</v>
      </c>
      <c r="AF81" s="158">
        <v>43.4683219952454</v>
      </c>
      <c r="AG81" s="158">
        <v>63.7915613190572</v>
      </c>
      <c r="AH81" s="9"/>
      <c r="AI81" s="63">
        <v>62.2916039162629</v>
      </c>
      <c r="AJ81" s="63">
        <v>51.5750563171762</v>
      </c>
      <c r="AK81" s="63">
        <v>80.984312969514</v>
      </c>
      <c r="AL81" s="63">
        <v>44.8222714267656</v>
      </c>
      <c r="AM81" s="63">
        <v>64.5276959763086</v>
      </c>
      <c r="AN81" s="9"/>
      <c r="AO81" s="50">
        <v>63.59828</v>
      </c>
      <c r="AP81" s="50">
        <v>45.61697</v>
      </c>
      <c r="AQ81" s="50">
        <v>80.6039</v>
      </c>
      <c r="AR81" s="50">
        <v>42.61456</v>
      </c>
      <c r="AS81" s="50">
        <v>66.71136</v>
      </c>
      <c r="AU81" s="50">
        <v>64.90582</v>
      </c>
      <c r="AV81" s="50">
        <v>49.28954</v>
      </c>
      <c r="AW81" s="50">
        <v>81.18519</v>
      </c>
      <c r="AX81" s="50">
        <v>44.63017</v>
      </c>
      <c r="AY81" s="50">
        <v>62.08251</v>
      </c>
      <c r="BA81" s="50">
        <v>59.54422</v>
      </c>
      <c r="BB81" s="50">
        <v>51.85184</v>
      </c>
      <c r="BC81" s="50">
        <v>74.86419</v>
      </c>
      <c r="BD81" s="50">
        <v>43.70986</v>
      </c>
      <c r="BE81" s="50">
        <v>64.49437</v>
      </c>
      <c r="BG81" s="50">
        <v>61.77254</v>
      </c>
      <c r="BH81" s="50">
        <v>52.42441</v>
      </c>
      <c r="BI81" s="50">
        <v>76.22902</v>
      </c>
      <c r="BJ81" s="50">
        <v>38.89366</v>
      </c>
      <c r="BK81" s="50">
        <v>60.55921</v>
      </c>
      <c r="BM81" s="50">
        <v>60.77941</v>
      </c>
      <c r="BN81" s="50">
        <v>49.62822</v>
      </c>
      <c r="BO81" s="50">
        <v>74.89348</v>
      </c>
      <c r="BP81" s="50">
        <v>36.35463</v>
      </c>
      <c r="BQ81" s="50">
        <v>65.11633</v>
      </c>
    </row>
    <row r="82" spans="1:69" ht="12.75">
      <c r="A82" s="2">
        <f>VLOOKUP(E82,'SHA cluster table data'!B79:C249,2,FALSE)</f>
        <v>76</v>
      </c>
      <c r="B82" s="2">
        <v>79</v>
      </c>
      <c r="C82" s="42" t="str">
        <f>VLOOKUP(E82,'SHA cluster table data'!$B$4:$G$171,6,FALSE)</f>
        <v>Q31</v>
      </c>
      <c r="D82" s="42" t="s">
        <v>100</v>
      </c>
      <c r="E82" s="71" t="s">
        <v>283</v>
      </c>
      <c r="F82" s="71">
        <v>79</v>
      </c>
      <c r="G82" s="104">
        <v>68.7182412411462</v>
      </c>
      <c r="H82" s="154">
        <f t="shared" si="2"/>
        <v>71.03170823928042</v>
      </c>
      <c r="I82" s="155">
        <f t="shared" si="3"/>
        <v>70.13198341280685</v>
      </c>
      <c r="J82" s="63">
        <v>65.66339208685899</v>
      </c>
      <c r="K82" s="63">
        <v>68.451108</v>
      </c>
      <c r="L82" s="63">
        <v>66.345764</v>
      </c>
      <c r="M82" s="63">
        <v>72.36514399999999</v>
      </c>
      <c r="N82" s="63">
        <v>72.78383</v>
      </c>
      <c r="O82" s="63">
        <v>72.95642600000001</v>
      </c>
      <c r="P82" s="86"/>
      <c r="Q82" s="103">
        <v>70.6125135204467</v>
      </c>
      <c r="R82" s="103">
        <v>59.110814875058</v>
      </c>
      <c r="S82" s="103">
        <v>83.655994504551</v>
      </c>
      <c r="T82" s="103">
        <v>48.442839141075</v>
      </c>
      <c r="U82" s="103">
        <v>81.7690441646005</v>
      </c>
      <c r="V82" s="86"/>
      <c r="W82" s="158">
        <v>73.5936301264505</v>
      </c>
      <c r="X82" s="158">
        <v>63.8747533691191</v>
      </c>
      <c r="Y82" s="158">
        <v>82.5936607224474</v>
      </c>
      <c r="Z82" s="158">
        <v>52.1817909813923</v>
      </c>
      <c r="AA82" s="158">
        <v>82.9147059969928</v>
      </c>
      <c r="AB82" s="159"/>
      <c r="AC82" s="158">
        <v>71.1939775243953</v>
      </c>
      <c r="AD82" s="158">
        <v>59.0723469624062</v>
      </c>
      <c r="AE82" s="158">
        <v>82.7157228870774</v>
      </c>
      <c r="AF82" s="158">
        <v>57.3912504845096</v>
      </c>
      <c r="AG82" s="158">
        <v>80.2866192056457</v>
      </c>
      <c r="AH82" s="9"/>
      <c r="AI82" s="63">
        <v>67.9538282748958</v>
      </c>
      <c r="AJ82" s="63">
        <v>59.8657284417587</v>
      </c>
      <c r="AK82" s="63">
        <v>79.2633010422469</v>
      </c>
      <c r="AL82" s="63">
        <v>45.0349727184009</v>
      </c>
      <c r="AM82" s="63">
        <v>76.1991299569927</v>
      </c>
      <c r="AN82" s="9"/>
      <c r="AO82" s="50">
        <v>69.20795</v>
      </c>
      <c r="AP82" s="50">
        <v>58.87328</v>
      </c>
      <c r="AQ82" s="50">
        <v>80.34798</v>
      </c>
      <c r="AR82" s="50">
        <v>49.18542</v>
      </c>
      <c r="AS82" s="50">
        <v>84.64091</v>
      </c>
      <c r="AU82" s="50">
        <v>69.41544</v>
      </c>
      <c r="AV82" s="50">
        <v>58.35144</v>
      </c>
      <c r="AW82" s="50">
        <v>77.23894</v>
      </c>
      <c r="AX82" s="50">
        <v>49.48124</v>
      </c>
      <c r="AY82" s="50">
        <v>77.24176</v>
      </c>
      <c r="BA82" s="50">
        <v>73.96769</v>
      </c>
      <c r="BB82" s="50">
        <v>65.05386</v>
      </c>
      <c r="BC82" s="50">
        <v>81.16855</v>
      </c>
      <c r="BD82" s="50">
        <v>56.77554</v>
      </c>
      <c r="BE82" s="50">
        <v>84.86008</v>
      </c>
      <c r="BG82" s="50">
        <v>73.98535</v>
      </c>
      <c r="BH82" s="50">
        <v>64.92231</v>
      </c>
      <c r="BI82" s="50">
        <v>84.05753</v>
      </c>
      <c r="BJ82" s="50">
        <v>56.27166</v>
      </c>
      <c r="BK82" s="50">
        <v>84.6823</v>
      </c>
      <c r="BM82" s="50">
        <v>72.57714</v>
      </c>
      <c r="BN82" s="50">
        <v>66.47195</v>
      </c>
      <c r="BO82" s="50">
        <v>85.10492</v>
      </c>
      <c r="BP82" s="50">
        <v>56.41309</v>
      </c>
      <c r="BQ82" s="50">
        <v>84.21503</v>
      </c>
    </row>
    <row r="83" spans="1:69" ht="12.75">
      <c r="A83" s="2">
        <f>VLOOKUP(E83,'SHA cluster table data'!B80:C250,2,FALSE)</f>
        <v>77</v>
      </c>
      <c r="B83" s="1">
        <v>80</v>
      </c>
      <c r="C83" s="42" t="str">
        <f>VLOOKUP(E83,'SHA cluster table data'!$B$4:$G$171,6,FALSE)</f>
        <v>Q36</v>
      </c>
      <c r="D83" s="42" t="s">
        <v>135</v>
      </c>
      <c r="E83" s="71" t="s">
        <v>284</v>
      </c>
      <c r="F83" s="71">
        <v>80</v>
      </c>
      <c r="G83" s="104">
        <v>62.9807102152743</v>
      </c>
      <c r="H83" s="154">
        <f t="shared" si="2"/>
        <v>56.54470820785158</v>
      </c>
      <c r="I83" s="155">
        <f t="shared" si="3"/>
        <v>59.5481853135433</v>
      </c>
      <c r="J83" s="63">
        <v>60.10113542929302</v>
      </c>
      <c r="K83" s="63">
        <v>61.180812</v>
      </c>
      <c r="L83" s="63">
        <v>56.95202999999999</v>
      </c>
      <c r="M83" s="63">
        <v>60.674082</v>
      </c>
      <c r="N83" s="63">
        <v>64.595744</v>
      </c>
      <c r="O83" s="63">
        <v>62.290034000000006</v>
      </c>
      <c r="P83" s="86"/>
      <c r="Q83" s="103">
        <v>67.0247196405865</v>
      </c>
      <c r="R83" s="103">
        <v>50.2768256974439</v>
      </c>
      <c r="S83" s="103">
        <v>83.7696111607373</v>
      </c>
      <c r="T83" s="103">
        <v>44.5439370196804</v>
      </c>
      <c r="U83" s="103">
        <v>69.2884575579236</v>
      </c>
      <c r="V83" s="86"/>
      <c r="W83" s="158">
        <v>59.1275340590579</v>
      </c>
      <c r="X83" s="158">
        <v>43.1706767373129</v>
      </c>
      <c r="Y83" s="158">
        <v>78.9454110228898</v>
      </c>
      <c r="Z83" s="158">
        <v>38.9698675446042</v>
      </c>
      <c r="AA83" s="158">
        <v>62.5100516753931</v>
      </c>
      <c r="AB83" s="159"/>
      <c r="AC83" s="158">
        <v>62.0636720637345</v>
      </c>
      <c r="AD83" s="158">
        <v>51.8121861522354</v>
      </c>
      <c r="AE83" s="158">
        <v>76.549830638487</v>
      </c>
      <c r="AF83" s="158">
        <v>40.4395163905507</v>
      </c>
      <c r="AG83" s="158">
        <v>66.8757213227089</v>
      </c>
      <c r="AH83" s="9"/>
      <c r="AI83" s="63">
        <v>65.2717771004654</v>
      </c>
      <c r="AJ83" s="63">
        <v>49.1522445627268</v>
      </c>
      <c r="AK83" s="63">
        <v>78.846180703338</v>
      </c>
      <c r="AL83" s="63">
        <v>38.2802442913166</v>
      </c>
      <c r="AM83" s="63">
        <v>68.9552304886183</v>
      </c>
      <c r="AN83" s="9"/>
      <c r="AO83" s="50">
        <v>63.89951</v>
      </c>
      <c r="AP83" s="50">
        <v>46.44834</v>
      </c>
      <c r="AQ83" s="50">
        <v>80.23678</v>
      </c>
      <c r="AR83" s="50">
        <v>44.54763</v>
      </c>
      <c r="AS83" s="50">
        <v>70.7718</v>
      </c>
      <c r="AU83" s="50">
        <v>61.74808</v>
      </c>
      <c r="AV83" s="50">
        <v>41.69379</v>
      </c>
      <c r="AW83" s="50">
        <v>75.19865</v>
      </c>
      <c r="AX83" s="50">
        <v>42.04782</v>
      </c>
      <c r="AY83" s="50">
        <v>64.07181</v>
      </c>
      <c r="BA83" s="50">
        <v>64.10456</v>
      </c>
      <c r="BB83" s="50">
        <v>44.05845</v>
      </c>
      <c r="BC83" s="50">
        <v>75.00824</v>
      </c>
      <c r="BD83" s="50">
        <v>47.49937</v>
      </c>
      <c r="BE83" s="50">
        <v>72.69979</v>
      </c>
      <c r="BG83" s="50">
        <v>68.13091</v>
      </c>
      <c r="BH83" s="50">
        <v>51.05779</v>
      </c>
      <c r="BI83" s="50">
        <v>80.24226</v>
      </c>
      <c r="BJ83" s="50">
        <v>50.83479</v>
      </c>
      <c r="BK83" s="50">
        <v>72.71297</v>
      </c>
      <c r="BM83" s="50">
        <v>65.26254</v>
      </c>
      <c r="BN83" s="50">
        <v>48.6883</v>
      </c>
      <c r="BO83" s="50">
        <v>78.08608</v>
      </c>
      <c r="BP83" s="50">
        <v>48.34648</v>
      </c>
      <c r="BQ83" s="50">
        <v>71.06677</v>
      </c>
    </row>
    <row r="84" spans="1:69" ht="12.75">
      <c r="A84" s="2">
        <f>VLOOKUP(E84,'SHA cluster table data'!B81:C251,2,FALSE)</f>
        <v>78</v>
      </c>
      <c r="B84" s="2">
        <v>81</v>
      </c>
      <c r="C84" s="42" t="str">
        <f>VLOOKUP(E84,'SHA cluster table data'!$B$4:$G$171,6,FALSE)</f>
        <v>Q34</v>
      </c>
      <c r="D84" s="42" t="s">
        <v>225</v>
      </c>
      <c r="E84" s="71" t="s">
        <v>346</v>
      </c>
      <c r="F84" s="71">
        <v>81</v>
      </c>
      <c r="G84" s="104">
        <v>65.6879035814601</v>
      </c>
      <c r="H84" s="154">
        <f t="shared" si="2"/>
        <v>68.06688836464092</v>
      </c>
      <c r="I84" s="155">
        <f t="shared" si="3"/>
        <v>67.88708918558041</v>
      </c>
      <c r="J84" s="63">
        <v>64.13512304517785</v>
      </c>
      <c r="K84" s="63">
        <v>64.19402199999999</v>
      </c>
      <c r="L84" s="63">
        <v>64.537732</v>
      </c>
      <c r="M84" s="63">
        <v>65.802954</v>
      </c>
      <c r="N84" s="63">
        <v>65.67881</v>
      </c>
      <c r="O84" s="63">
        <v>65.732836</v>
      </c>
      <c r="P84" s="86"/>
      <c r="Q84" s="103">
        <v>71.4978787696916</v>
      </c>
      <c r="R84" s="103">
        <v>56.3918312193991</v>
      </c>
      <c r="S84" s="103">
        <v>84.2625742464411</v>
      </c>
      <c r="T84" s="103">
        <v>42.6098359402317</v>
      </c>
      <c r="U84" s="103">
        <v>73.6773977315369</v>
      </c>
      <c r="V84" s="86"/>
      <c r="W84" s="158">
        <v>71.2380771523284</v>
      </c>
      <c r="X84" s="158">
        <v>62.0065090793348</v>
      </c>
      <c r="Y84" s="158">
        <v>82.4715382536121</v>
      </c>
      <c r="Z84" s="158">
        <v>47.9826845985249</v>
      </c>
      <c r="AA84" s="158">
        <v>76.6356327394044</v>
      </c>
      <c r="AB84" s="159"/>
      <c r="AC84" s="158">
        <v>70.9981421038393</v>
      </c>
      <c r="AD84" s="158">
        <v>63.4400468566858</v>
      </c>
      <c r="AE84" s="158">
        <v>82.2777419690543</v>
      </c>
      <c r="AF84" s="158">
        <v>48.4614118518269</v>
      </c>
      <c r="AG84" s="158">
        <v>74.2581031464957</v>
      </c>
      <c r="AH84" s="9"/>
      <c r="AI84" s="63">
        <v>69.1414390560092</v>
      </c>
      <c r="AJ84" s="63">
        <v>58.8458484696478</v>
      </c>
      <c r="AK84" s="63">
        <v>76.4380928864687</v>
      </c>
      <c r="AL84" s="63">
        <v>45.7780704752617</v>
      </c>
      <c r="AM84" s="63">
        <v>70.4721643385019</v>
      </c>
      <c r="AN84" s="9"/>
      <c r="AO84" s="50">
        <v>66.50614</v>
      </c>
      <c r="AP84" s="50">
        <v>54.83987</v>
      </c>
      <c r="AQ84" s="50">
        <v>78.06517</v>
      </c>
      <c r="AR84" s="50">
        <v>46.61775</v>
      </c>
      <c r="AS84" s="50">
        <v>74.94118</v>
      </c>
      <c r="AU84" s="50">
        <v>69.85741</v>
      </c>
      <c r="AV84" s="50">
        <v>56.10571</v>
      </c>
      <c r="AW84" s="50">
        <v>79.48624</v>
      </c>
      <c r="AX84" s="50">
        <v>48.17228</v>
      </c>
      <c r="AY84" s="50">
        <v>69.06702</v>
      </c>
      <c r="BA84" s="50">
        <v>71.69517</v>
      </c>
      <c r="BB84" s="50">
        <v>59.06236</v>
      </c>
      <c r="BC84" s="50">
        <v>81.13793</v>
      </c>
      <c r="BD84" s="50">
        <v>42.61598</v>
      </c>
      <c r="BE84" s="50">
        <v>74.50333</v>
      </c>
      <c r="BG84" s="50">
        <v>71.0955</v>
      </c>
      <c r="BH84" s="50">
        <v>57.16442</v>
      </c>
      <c r="BI84" s="50">
        <v>79.86189</v>
      </c>
      <c r="BJ84" s="50">
        <v>47.8468</v>
      </c>
      <c r="BK84" s="50">
        <v>72.42544</v>
      </c>
      <c r="BM84" s="50">
        <v>71.63853</v>
      </c>
      <c r="BN84" s="50">
        <v>59.34278</v>
      </c>
      <c r="BO84" s="50">
        <v>76.56567</v>
      </c>
      <c r="BP84" s="50">
        <v>46.75012</v>
      </c>
      <c r="BQ84" s="50">
        <v>74.36708</v>
      </c>
    </row>
    <row r="85" spans="1:69" ht="12.75">
      <c r="A85" s="2">
        <f>VLOOKUP(E85,'SHA cluster table data'!B82:C252,2,FALSE)</f>
        <v>79</v>
      </c>
      <c r="B85" s="2">
        <v>82</v>
      </c>
      <c r="C85" s="42" t="str">
        <f>VLOOKUP(E85,'SHA cluster table data'!$B$4:$G$171,6,FALSE)</f>
        <v>Q39</v>
      </c>
      <c r="D85" s="42" t="s">
        <v>136</v>
      </c>
      <c r="E85" s="71" t="s">
        <v>285</v>
      </c>
      <c r="F85" s="71">
        <v>82</v>
      </c>
      <c r="G85" s="104">
        <v>71.0901919730671</v>
      </c>
      <c r="H85" s="154">
        <f t="shared" si="2"/>
        <v>69.19609828384232</v>
      </c>
      <c r="I85" s="155">
        <f t="shared" si="3"/>
        <v>70.81641747164596</v>
      </c>
      <c r="J85" s="63">
        <v>68.89627793716032</v>
      </c>
      <c r="K85" s="63">
        <v>69.401506</v>
      </c>
      <c r="L85" s="63">
        <v>70.691556</v>
      </c>
      <c r="M85" s="63">
        <v>69.159908</v>
      </c>
      <c r="N85" s="63">
        <v>71.08451</v>
      </c>
      <c r="O85" s="63">
        <v>68.31093800000001</v>
      </c>
      <c r="P85" s="86"/>
      <c r="Q85" s="103">
        <v>79.1313654591044</v>
      </c>
      <c r="R85" s="103">
        <v>61.6020402951207</v>
      </c>
      <c r="S85" s="103">
        <v>84.2835979593077</v>
      </c>
      <c r="T85" s="103">
        <v>49.7040335748912</v>
      </c>
      <c r="U85" s="103">
        <v>80.7299225769113</v>
      </c>
      <c r="V85" s="86"/>
      <c r="W85" s="158">
        <v>73.9272029801928</v>
      </c>
      <c r="X85" s="158">
        <v>59.6671628384308</v>
      </c>
      <c r="Y85" s="158">
        <v>83.4012448404445</v>
      </c>
      <c r="Z85" s="158">
        <v>46.1340903630145</v>
      </c>
      <c r="AA85" s="158">
        <v>82.850790397129</v>
      </c>
      <c r="AB85" s="159"/>
      <c r="AC85" s="158">
        <v>74.5139714727057</v>
      </c>
      <c r="AD85" s="158">
        <v>65.4970561133478</v>
      </c>
      <c r="AE85" s="158">
        <v>84.1094589024928</v>
      </c>
      <c r="AF85" s="158">
        <v>48.6175160666204</v>
      </c>
      <c r="AG85" s="158">
        <v>81.3440848030631</v>
      </c>
      <c r="AH85" s="9"/>
      <c r="AI85" s="63">
        <v>78.0240309190337</v>
      </c>
      <c r="AJ85" s="63">
        <v>63.2061972363199</v>
      </c>
      <c r="AK85" s="63">
        <v>79.8852540255152</v>
      </c>
      <c r="AL85" s="63">
        <v>43.9928929140891</v>
      </c>
      <c r="AM85" s="63">
        <v>79.3730145908437</v>
      </c>
      <c r="AN85" s="9"/>
      <c r="AO85" s="50">
        <v>75.43111</v>
      </c>
      <c r="AP85" s="50">
        <v>64.1571</v>
      </c>
      <c r="AQ85" s="50">
        <v>81.04605</v>
      </c>
      <c r="AR85" s="50">
        <v>49.33647</v>
      </c>
      <c r="AS85" s="50">
        <v>77.0368</v>
      </c>
      <c r="AU85" s="50">
        <v>74.69978</v>
      </c>
      <c r="AV85" s="50">
        <v>67.56258</v>
      </c>
      <c r="AW85" s="50">
        <v>83.76849</v>
      </c>
      <c r="AX85" s="50">
        <v>51.60144</v>
      </c>
      <c r="AY85" s="50">
        <v>75.82549</v>
      </c>
      <c r="BA85" s="50">
        <v>72.11571</v>
      </c>
      <c r="BB85" s="50">
        <v>61.31157</v>
      </c>
      <c r="BC85" s="50">
        <v>84.07018</v>
      </c>
      <c r="BD85" s="50">
        <v>48.67513</v>
      </c>
      <c r="BE85" s="50">
        <v>79.62695</v>
      </c>
      <c r="BG85" s="50">
        <v>76.90359</v>
      </c>
      <c r="BH85" s="50">
        <v>67.64964</v>
      </c>
      <c r="BI85" s="50">
        <v>84.44321</v>
      </c>
      <c r="BJ85" s="50">
        <v>49.29977</v>
      </c>
      <c r="BK85" s="50">
        <v>77.12634</v>
      </c>
      <c r="BM85" s="50">
        <v>75.90103</v>
      </c>
      <c r="BN85" s="50">
        <v>63.27783</v>
      </c>
      <c r="BO85" s="50">
        <v>80.42524</v>
      </c>
      <c r="BP85" s="50">
        <v>47.09199</v>
      </c>
      <c r="BQ85" s="50">
        <v>74.8586</v>
      </c>
    </row>
    <row r="86" spans="1:69" ht="12.75">
      <c r="A86" s="2">
        <f>VLOOKUP(E86,'SHA cluster table data'!B83:C253,2,FALSE)</f>
        <v>80</v>
      </c>
      <c r="B86" s="2">
        <v>83</v>
      </c>
      <c r="C86" s="42" t="str">
        <f>VLOOKUP(E86,'SHA cluster table data'!$B$4:$G$171,6,FALSE)</f>
        <v>Q31</v>
      </c>
      <c r="D86" s="42" t="s">
        <v>101</v>
      </c>
      <c r="E86" s="71" t="s">
        <v>286</v>
      </c>
      <c r="F86" s="71">
        <v>83</v>
      </c>
      <c r="G86" s="104">
        <v>68.473525281413</v>
      </c>
      <c r="H86" s="154">
        <f t="shared" si="2"/>
        <v>68.99590869190567</v>
      </c>
      <c r="I86" s="155">
        <f t="shared" si="3"/>
        <v>67.7758109811466</v>
      </c>
      <c r="J86" s="63">
        <v>67.57270816716215</v>
      </c>
      <c r="K86" s="63">
        <v>67.087958</v>
      </c>
      <c r="L86" s="63">
        <v>66.055556</v>
      </c>
      <c r="M86" s="63">
        <v>67.363942</v>
      </c>
      <c r="N86" s="63">
        <v>71.29160999999999</v>
      </c>
      <c r="O86" s="63">
        <v>72.393202</v>
      </c>
      <c r="P86" s="86"/>
      <c r="Q86" s="103">
        <v>73.0010696178107</v>
      </c>
      <c r="R86" s="103">
        <v>52.2184308587171</v>
      </c>
      <c r="S86" s="103">
        <v>80.8001364001677</v>
      </c>
      <c r="T86" s="103">
        <v>56.0669851581905</v>
      </c>
      <c r="U86" s="103">
        <v>80.2810043721792</v>
      </c>
      <c r="V86" s="86"/>
      <c r="W86" s="158">
        <v>70.5728462990894</v>
      </c>
      <c r="X86" s="158">
        <v>61.7122852081829</v>
      </c>
      <c r="Y86" s="158">
        <v>81.5767929307327</v>
      </c>
      <c r="Z86" s="158">
        <v>50.2762672912793</v>
      </c>
      <c r="AA86" s="158">
        <v>80.8413517302441</v>
      </c>
      <c r="AB86" s="159"/>
      <c r="AC86" s="158">
        <v>70.5707769409889</v>
      </c>
      <c r="AD86" s="158">
        <v>61.2699002957533</v>
      </c>
      <c r="AE86" s="158">
        <v>80.5498147138278</v>
      </c>
      <c r="AF86" s="158">
        <v>47.5021853359969</v>
      </c>
      <c r="AG86" s="158">
        <v>78.9863776191661</v>
      </c>
      <c r="AH86" s="9"/>
      <c r="AI86" s="63">
        <v>70.7027939143886</v>
      </c>
      <c r="AJ86" s="63">
        <v>61.7114411282388</v>
      </c>
      <c r="AK86" s="63">
        <v>80.4956294966476</v>
      </c>
      <c r="AL86" s="63">
        <v>46.9336607944445</v>
      </c>
      <c r="AM86" s="63">
        <v>78.0200155020912</v>
      </c>
      <c r="AN86" s="9"/>
      <c r="AO86" s="50">
        <v>70.17744</v>
      </c>
      <c r="AP86" s="50">
        <v>60.85995</v>
      </c>
      <c r="AQ86" s="50">
        <v>77.26476</v>
      </c>
      <c r="AR86" s="50">
        <v>49.43275</v>
      </c>
      <c r="AS86" s="50">
        <v>77.70489</v>
      </c>
      <c r="AU86" s="50">
        <v>69.07476</v>
      </c>
      <c r="AV86" s="50">
        <v>57.30206</v>
      </c>
      <c r="AW86" s="50">
        <v>78.19685</v>
      </c>
      <c r="AX86" s="50">
        <v>46.96906</v>
      </c>
      <c r="AY86" s="50">
        <v>78.73505</v>
      </c>
      <c r="BA86" s="50">
        <v>70.30624</v>
      </c>
      <c r="BB86" s="50">
        <v>62.0714</v>
      </c>
      <c r="BC86" s="50">
        <v>81.72836</v>
      </c>
      <c r="BD86" s="50">
        <v>49.44152</v>
      </c>
      <c r="BE86" s="50">
        <v>73.27219</v>
      </c>
      <c r="BG86" s="50">
        <v>72.62105</v>
      </c>
      <c r="BH86" s="50">
        <v>65.51975</v>
      </c>
      <c r="BI86" s="50">
        <v>81.40806</v>
      </c>
      <c r="BJ86" s="50">
        <v>54.4905</v>
      </c>
      <c r="BK86" s="50">
        <v>82.41869</v>
      </c>
      <c r="BM86" s="50">
        <v>73.01015</v>
      </c>
      <c r="BN86" s="50">
        <v>65.9206</v>
      </c>
      <c r="BO86" s="50">
        <v>83.80141</v>
      </c>
      <c r="BP86" s="50">
        <v>55.11447</v>
      </c>
      <c r="BQ86" s="50">
        <v>84.11938</v>
      </c>
    </row>
    <row r="87" spans="1:69" ht="12.75">
      <c r="A87" s="2">
        <f>VLOOKUP(E87,'SHA cluster table data'!B84:C254,2,FALSE)</f>
        <v>81</v>
      </c>
      <c r="B87" s="1">
        <v>84</v>
      </c>
      <c r="C87" s="42" t="str">
        <f>VLOOKUP(E87,'SHA cluster table data'!$B$4:$G$171,6,FALSE)</f>
        <v>Q31</v>
      </c>
      <c r="D87" s="42" t="s">
        <v>245</v>
      </c>
      <c r="E87" s="71" t="s">
        <v>339</v>
      </c>
      <c r="F87" s="71">
        <v>84</v>
      </c>
      <c r="G87" s="104">
        <v>71.6414923498492</v>
      </c>
      <c r="H87" s="154">
        <f t="shared" si="2"/>
        <v>72.3290083933097</v>
      </c>
      <c r="I87" s="155">
        <f t="shared" si="3"/>
        <v>68.7167308848046</v>
      </c>
      <c r="J87" s="63">
        <v>66.50465826186554</v>
      </c>
      <c r="K87" s="63">
        <v>65.834952</v>
      </c>
      <c r="L87" s="63">
        <v>68.227982</v>
      </c>
      <c r="M87" s="63">
        <v>68.716984</v>
      </c>
      <c r="N87" s="63">
        <v>69.535664</v>
      </c>
      <c r="O87" s="63">
        <v>61.545640000000006</v>
      </c>
      <c r="P87" s="86"/>
      <c r="Q87" s="103">
        <v>75.9780336599168</v>
      </c>
      <c r="R87" s="103">
        <v>61.3413895783506</v>
      </c>
      <c r="S87" s="103">
        <v>86.9925318951315</v>
      </c>
      <c r="T87" s="103">
        <v>53.7803758155195</v>
      </c>
      <c r="U87" s="103">
        <v>80.1151308003276</v>
      </c>
      <c r="V87" s="86"/>
      <c r="W87" s="158">
        <v>73.1412725923712</v>
      </c>
      <c r="X87" s="158">
        <v>60.8837457126143</v>
      </c>
      <c r="Y87" s="158">
        <v>85.6435086940605</v>
      </c>
      <c r="Z87" s="158">
        <v>58.933647602227</v>
      </c>
      <c r="AA87" s="158">
        <v>83.0428673652755</v>
      </c>
      <c r="AB87" s="159"/>
      <c r="AC87" s="158">
        <v>72.1561289318644</v>
      </c>
      <c r="AD87" s="158">
        <v>61.6244554053741</v>
      </c>
      <c r="AE87" s="158">
        <v>81.0443717034383</v>
      </c>
      <c r="AF87" s="158">
        <v>47.2484153683783</v>
      </c>
      <c r="AG87" s="158">
        <v>81.510283014968</v>
      </c>
      <c r="AH87" s="9"/>
      <c r="AI87" s="63">
        <v>71.1332780945005</v>
      </c>
      <c r="AJ87" s="63">
        <v>56.2141194933363</v>
      </c>
      <c r="AK87" s="63">
        <v>81.5720308152201</v>
      </c>
      <c r="AL87" s="63">
        <v>49.0488868765849</v>
      </c>
      <c r="AM87" s="63">
        <v>74.5549760296859</v>
      </c>
      <c r="AN87" s="9"/>
      <c r="AO87" s="50">
        <v>69.91239</v>
      </c>
      <c r="AP87" s="50">
        <v>57.85818</v>
      </c>
      <c r="AQ87" s="50">
        <v>79.39238</v>
      </c>
      <c r="AR87" s="50">
        <v>44.39925</v>
      </c>
      <c r="AS87" s="50">
        <v>77.61256</v>
      </c>
      <c r="AU87" s="50">
        <v>73.3315</v>
      </c>
      <c r="AV87" s="50">
        <v>63.42781</v>
      </c>
      <c r="AW87" s="50">
        <v>81.3281</v>
      </c>
      <c r="AX87" s="50">
        <v>45.50965</v>
      </c>
      <c r="AY87" s="50">
        <v>77.54285</v>
      </c>
      <c r="BA87" s="50">
        <v>72.18377</v>
      </c>
      <c r="BB87" s="50">
        <v>60.57639</v>
      </c>
      <c r="BC87" s="50">
        <v>79.9819</v>
      </c>
      <c r="BD87" s="50">
        <v>51.52671</v>
      </c>
      <c r="BE87" s="50">
        <v>79.31615</v>
      </c>
      <c r="BG87" s="50">
        <v>69.57275</v>
      </c>
      <c r="BH87" s="50">
        <v>64.78864</v>
      </c>
      <c r="BI87" s="50">
        <v>82.68401</v>
      </c>
      <c r="BJ87" s="50">
        <v>50.17947</v>
      </c>
      <c r="BK87" s="50">
        <v>80.45345</v>
      </c>
      <c r="BM87" s="50">
        <v>63.32487</v>
      </c>
      <c r="BN87" s="50">
        <v>52.49403</v>
      </c>
      <c r="BO87" s="50">
        <v>76.36562</v>
      </c>
      <c r="BP87" s="50">
        <v>39.43064</v>
      </c>
      <c r="BQ87" s="50">
        <v>76.11304</v>
      </c>
    </row>
    <row r="88" spans="1:69" ht="12.75">
      <c r="A88" s="2">
        <f>VLOOKUP(E88,'SHA cluster table data'!B85:C255,2,FALSE)</f>
        <v>82</v>
      </c>
      <c r="B88" s="2">
        <v>85</v>
      </c>
      <c r="C88" s="42" t="str">
        <f>VLOOKUP(E88,'SHA cluster table data'!$B$4:$G$171,6,FALSE)</f>
        <v>Q34</v>
      </c>
      <c r="D88" s="42" t="s">
        <v>409</v>
      </c>
      <c r="E88" s="71" t="s">
        <v>410</v>
      </c>
      <c r="F88" s="71">
        <v>85</v>
      </c>
      <c r="G88" s="104">
        <v>67.4018605885034</v>
      </c>
      <c r="H88" s="154">
        <f t="shared" si="2"/>
        <v>66.40943988401368</v>
      </c>
      <c r="I88" s="155">
        <f t="shared" si="3"/>
        <v>65.91442699743531</v>
      </c>
      <c r="J88" s="63">
        <v>65.28318242896309</v>
      </c>
      <c r="K88" s="63">
        <v>66.57482</v>
      </c>
      <c r="L88" s="63">
        <v>65.51359</v>
      </c>
      <c r="M88" s="63">
        <v>69.352542</v>
      </c>
      <c r="N88" s="65" t="s">
        <v>426</v>
      </c>
      <c r="O88" s="65" t="s">
        <v>426</v>
      </c>
      <c r="P88" s="86"/>
      <c r="Q88" s="103">
        <v>69.4403422266244</v>
      </c>
      <c r="R88" s="103">
        <v>58.2581893582401</v>
      </c>
      <c r="S88" s="103">
        <v>83.3659698266026</v>
      </c>
      <c r="T88" s="103">
        <v>47.8781058646377</v>
      </c>
      <c r="U88" s="103">
        <v>78.066695666412</v>
      </c>
      <c r="V88" s="86"/>
      <c r="W88" s="158">
        <v>70.6850220233576</v>
      </c>
      <c r="X88" s="158">
        <v>56.2874903535644</v>
      </c>
      <c r="Y88" s="158">
        <v>80.8725484554564</v>
      </c>
      <c r="Z88" s="158">
        <v>46.8151589690372</v>
      </c>
      <c r="AA88" s="158">
        <v>77.3869796186528</v>
      </c>
      <c r="AB88" s="159"/>
      <c r="AC88" s="158">
        <v>71.9489405080077</v>
      </c>
      <c r="AD88" s="158">
        <v>58.7205981061309</v>
      </c>
      <c r="AE88" s="158">
        <v>81.4803654672751</v>
      </c>
      <c r="AF88" s="158">
        <v>40.7156789432541</v>
      </c>
      <c r="AG88" s="158">
        <v>76.7065519625088</v>
      </c>
      <c r="AH88" s="10"/>
      <c r="AI88" s="65">
        <v>68.9131769842267</v>
      </c>
      <c r="AJ88" s="65">
        <v>58.8004053715849</v>
      </c>
      <c r="AK88" s="65">
        <v>83.8065332315322</v>
      </c>
      <c r="AL88" s="65">
        <v>41.9190873245555</v>
      </c>
      <c r="AM88" s="65">
        <v>72.9767092329161</v>
      </c>
      <c r="AN88" s="10"/>
      <c r="AO88" s="50">
        <v>71.20796</v>
      </c>
      <c r="AP88" s="50">
        <v>58.39694</v>
      </c>
      <c r="AQ88" s="50">
        <v>81.58501</v>
      </c>
      <c r="AR88" s="50">
        <v>47.82767</v>
      </c>
      <c r="AS88" s="50">
        <v>73.85652</v>
      </c>
      <c r="AU88" s="50">
        <v>68.70218</v>
      </c>
      <c r="AV88" s="50">
        <v>59.51178</v>
      </c>
      <c r="AW88" s="50">
        <v>79.47936</v>
      </c>
      <c r="AX88" s="50">
        <v>45.34774</v>
      </c>
      <c r="AY88" s="50">
        <v>74.52689</v>
      </c>
      <c r="BA88" s="50">
        <v>70.00222</v>
      </c>
      <c r="BB88" s="50">
        <v>66.87079</v>
      </c>
      <c r="BC88" s="50">
        <v>83.46844</v>
      </c>
      <c r="BD88" s="50">
        <v>46.26878</v>
      </c>
      <c r="BE88" s="50">
        <v>80.15248</v>
      </c>
      <c r="BG88" s="50" t="s">
        <v>426</v>
      </c>
      <c r="BH88" s="50" t="s">
        <v>426</v>
      </c>
      <c r="BI88" s="50" t="s">
        <v>426</v>
      </c>
      <c r="BJ88" s="50" t="s">
        <v>426</v>
      </c>
      <c r="BK88" s="50" t="s">
        <v>426</v>
      </c>
      <c r="BM88" s="50" t="s">
        <v>426</v>
      </c>
      <c r="BN88" s="50" t="s">
        <v>426</v>
      </c>
      <c r="BO88" s="50" t="s">
        <v>426</v>
      </c>
      <c r="BP88" s="50" t="s">
        <v>426</v>
      </c>
      <c r="BQ88" s="50" t="s">
        <v>426</v>
      </c>
    </row>
    <row r="89" spans="1:69" ht="12.75">
      <c r="A89" s="2">
        <f>VLOOKUP(E89,'SHA cluster table data'!B86:C256,2,FALSE)</f>
      </c>
      <c r="B89" s="2">
        <v>86</v>
      </c>
      <c r="C89" s="42" t="str">
        <f>VLOOKUP(E89,'SHA cluster table data'!$B$4:$G$171,6,FALSE)</f>
        <v>Q39</v>
      </c>
      <c r="D89" s="42" t="s">
        <v>137</v>
      </c>
      <c r="E89" s="71" t="s">
        <v>287</v>
      </c>
      <c r="F89" s="71">
        <v>86</v>
      </c>
      <c r="G89" s="104" t="s">
        <v>426</v>
      </c>
      <c r="H89" s="154">
        <f t="shared" si="2"/>
        <v>76.43359783945883</v>
      </c>
      <c r="I89" s="155">
        <f t="shared" si="3"/>
        <v>76.61403960645032</v>
      </c>
      <c r="J89" s="63">
        <v>76.0248945033249</v>
      </c>
      <c r="K89" s="63">
        <v>76.618842</v>
      </c>
      <c r="L89" s="63">
        <v>73.591694</v>
      </c>
      <c r="M89" s="63">
        <v>76.739552</v>
      </c>
      <c r="N89" s="63">
        <v>78.27901399999999</v>
      </c>
      <c r="O89" s="63">
        <v>78.21234</v>
      </c>
      <c r="P89" s="86"/>
      <c r="Q89" s="103" t="s">
        <v>426</v>
      </c>
      <c r="R89" s="103" t="s">
        <v>426</v>
      </c>
      <c r="S89" s="103" t="s">
        <v>426</v>
      </c>
      <c r="T89" s="103" t="s">
        <v>426</v>
      </c>
      <c r="U89" s="103" t="s">
        <v>426</v>
      </c>
      <c r="V89" s="86"/>
      <c r="W89" s="158">
        <v>82.0491096460348</v>
      </c>
      <c r="X89" s="158">
        <v>69.295334433756</v>
      </c>
      <c r="Y89" s="158">
        <v>86.776647297144</v>
      </c>
      <c r="Z89" s="158">
        <v>57.3963214944058</v>
      </c>
      <c r="AA89" s="158">
        <v>86.6505763259536</v>
      </c>
      <c r="AB89" s="159"/>
      <c r="AC89" s="158">
        <v>78.6886839561323</v>
      </c>
      <c r="AD89" s="158">
        <v>68.40388237494</v>
      </c>
      <c r="AE89" s="158">
        <v>87.6723449943709</v>
      </c>
      <c r="AF89" s="158">
        <v>62.8883203889967</v>
      </c>
      <c r="AG89" s="158">
        <v>85.4169663178117</v>
      </c>
      <c r="AH89" s="9"/>
      <c r="AI89" s="63">
        <v>78.0447456982944</v>
      </c>
      <c r="AJ89" s="63">
        <v>67.8056887847888</v>
      </c>
      <c r="AK89" s="63">
        <v>88.0870408554331</v>
      </c>
      <c r="AL89" s="63">
        <v>64.4762516141572</v>
      </c>
      <c r="AM89" s="63">
        <v>81.710745563951</v>
      </c>
      <c r="AN89" s="9"/>
      <c r="AO89" s="50">
        <v>78.54297</v>
      </c>
      <c r="AP89" s="50">
        <v>70.92793</v>
      </c>
      <c r="AQ89" s="50">
        <v>88.87555</v>
      </c>
      <c r="AR89" s="50">
        <v>61.68835</v>
      </c>
      <c r="AS89" s="50">
        <v>83.05941</v>
      </c>
      <c r="AU89" s="50">
        <v>76.89759</v>
      </c>
      <c r="AV89" s="50">
        <v>62.8209</v>
      </c>
      <c r="AW89" s="50">
        <v>87.24461</v>
      </c>
      <c r="AX89" s="50">
        <v>54.814</v>
      </c>
      <c r="AY89" s="50">
        <v>86.18137</v>
      </c>
      <c r="BA89" s="50">
        <v>79.30556</v>
      </c>
      <c r="BB89" s="50">
        <v>68.78298</v>
      </c>
      <c r="BC89" s="50">
        <v>88.18887</v>
      </c>
      <c r="BD89" s="50">
        <v>64.71138</v>
      </c>
      <c r="BE89" s="50">
        <v>82.70897</v>
      </c>
      <c r="BG89" s="50">
        <v>77.7084</v>
      </c>
      <c r="BH89" s="50">
        <v>68.4408</v>
      </c>
      <c r="BI89" s="50">
        <v>90.49728</v>
      </c>
      <c r="BJ89" s="50">
        <v>66.5632</v>
      </c>
      <c r="BK89" s="50">
        <v>88.18539</v>
      </c>
      <c r="BM89" s="50">
        <v>78.70351</v>
      </c>
      <c r="BN89" s="50">
        <v>71.28173</v>
      </c>
      <c r="BO89" s="50">
        <v>85.79903</v>
      </c>
      <c r="BP89" s="50">
        <v>67.43967</v>
      </c>
      <c r="BQ89" s="50">
        <v>87.83776</v>
      </c>
    </row>
    <row r="90" spans="1:69" ht="12.75">
      <c r="A90" s="2">
        <f>VLOOKUP(E90,'SHA cluster table data'!B86:C257,2,FALSE)</f>
        <v>83</v>
      </c>
      <c r="B90" s="2">
        <v>87</v>
      </c>
      <c r="C90" s="42" t="str">
        <f>VLOOKUP(E90,'SHA cluster table data'!$B$4:$G$171,6,FALSE)</f>
        <v>Q39</v>
      </c>
      <c r="D90" s="42" t="s">
        <v>52</v>
      </c>
      <c r="E90" s="71" t="s">
        <v>392</v>
      </c>
      <c r="F90" s="71">
        <v>87</v>
      </c>
      <c r="G90" s="104">
        <v>69.8927130280152</v>
      </c>
      <c r="H90" s="154">
        <f t="shared" si="2"/>
        <v>69.33722953645238</v>
      </c>
      <c r="I90" s="155">
        <f t="shared" si="3"/>
        <v>71.00936985691024</v>
      </c>
      <c r="J90" s="63">
        <v>68.35448184987233</v>
      </c>
      <c r="K90" s="63">
        <v>69.96979</v>
      </c>
      <c r="L90" s="63">
        <v>68.32439600000001</v>
      </c>
      <c r="M90" s="63">
        <v>68.557032</v>
      </c>
      <c r="N90" s="63">
        <v>74.31586599999999</v>
      </c>
      <c r="O90" s="63">
        <v>71.04998599999999</v>
      </c>
      <c r="P90" s="86"/>
      <c r="Q90" s="103">
        <v>75.1603758155421</v>
      </c>
      <c r="R90" s="103">
        <v>55.5984473021559</v>
      </c>
      <c r="S90" s="103">
        <v>85.0041996079138</v>
      </c>
      <c r="T90" s="103">
        <v>56.6584764398699</v>
      </c>
      <c r="U90" s="103">
        <v>77.0420659745944</v>
      </c>
      <c r="V90" s="86"/>
      <c r="W90" s="158">
        <v>74.4547288374545</v>
      </c>
      <c r="X90" s="158">
        <v>62.193413324255</v>
      </c>
      <c r="Y90" s="158">
        <v>81.0576301412021</v>
      </c>
      <c r="Z90" s="158">
        <v>48.7466682887003</v>
      </c>
      <c r="AA90" s="158">
        <v>80.23370709065</v>
      </c>
      <c r="AB90" s="159"/>
      <c r="AC90" s="158">
        <v>74.6344334903563</v>
      </c>
      <c r="AD90" s="158">
        <v>65.0519622755817</v>
      </c>
      <c r="AE90" s="158">
        <v>85.96268013746</v>
      </c>
      <c r="AF90" s="158">
        <v>52.4985246869585</v>
      </c>
      <c r="AG90" s="158">
        <v>76.8992486941947</v>
      </c>
      <c r="AH90" s="9"/>
      <c r="AI90" s="63">
        <v>73.5851333340292</v>
      </c>
      <c r="AJ90" s="63">
        <v>58.705497643081</v>
      </c>
      <c r="AK90" s="63">
        <v>81.6609789850441</v>
      </c>
      <c r="AL90" s="63">
        <v>50.7223947553015</v>
      </c>
      <c r="AM90" s="63">
        <v>77.0984045319059</v>
      </c>
      <c r="AN90" s="9"/>
      <c r="AO90" s="50">
        <v>73.50697</v>
      </c>
      <c r="AP90" s="50">
        <v>59.73428</v>
      </c>
      <c r="AQ90" s="50">
        <v>81.55846</v>
      </c>
      <c r="AR90" s="50">
        <v>55.04652</v>
      </c>
      <c r="AS90" s="50">
        <v>80.00272</v>
      </c>
      <c r="AU90" s="50">
        <v>74.565</v>
      </c>
      <c r="AV90" s="50">
        <v>62.12169</v>
      </c>
      <c r="AW90" s="50">
        <v>82.68658</v>
      </c>
      <c r="AX90" s="50">
        <v>46.84093</v>
      </c>
      <c r="AY90" s="50">
        <v>75.40778</v>
      </c>
      <c r="BA90" s="50">
        <v>71.85275</v>
      </c>
      <c r="BB90" s="50">
        <v>63.76279</v>
      </c>
      <c r="BC90" s="50">
        <v>80.49565</v>
      </c>
      <c r="BD90" s="50">
        <v>48.4835</v>
      </c>
      <c r="BE90" s="50">
        <v>78.19047</v>
      </c>
      <c r="BG90" s="50">
        <v>78.26567</v>
      </c>
      <c r="BH90" s="50">
        <v>68.63877</v>
      </c>
      <c r="BI90" s="50">
        <v>84.11858</v>
      </c>
      <c r="BJ90" s="50">
        <v>59.49105</v>
      </c>
      <c r="BK90" s="50">
        <v>81.06526</v>
      </c>
      <c r="BM90" s="50">
        <v>75.69495</v>
      </c>
      <c r="BN90" s="50">
        <v>64.74931</v>
      </c>
      <c r="BO90" s="50">
        <v>82.85668</v>
      </c>
      <c r="BP90" s="50">
        <v>52.31435</v>
      </c>
      <c r="BQ90" s="50">
        <v>79.63464</v>
      </c>
    </row>
    <row r="91" spans="1:69" ht="12.75">
      <c r="A91" s="2">
        <f>VLOOKUP(E91,'SHA cluster table data'!B87:C258,2,FALSE)</f>
        <v>84</v>
      </c>
      <c r="B91" s="1">
        <v>88</v>
      </c>
      <c r="C91" s="42" t="str">
        <f>VLOOKUP(E91,'SHA cluster table data'!$B$4:$G$171,6,FALSE)</f>
        <v>Q34</v>
      </c>
      <c r="D91" s="42" t="s">
        <v>434</v>
      </c>
      <c r="E91" s="71" t="s">
        <v>351</v>
      </c>
      <c r="F91" s="71">
        <v>88</v>
      </c>
      <c r="G91" s="104">
        <v>76.8010150482653</v>
      </c>
      <c r="H91" s="154">
        <f t="shared" si="2"/>
        <v>75.57428298132191</v>
      </c>
      <c r="I91" s="155">
        <f t="shared" si="3"/>
        <v>76.85209115735395</v>
      </c>
      <c r="J91" s="63">
        <v>76.4619112120412</v>
      </c>
      <c r="K91" s="63">
        <v>76.777728</v>
      </c>
      <c r="L91" s="63">
        <v>80.321532</v>
      </c>
      <c r="M91" s="63">
        <v>80.26293799999999</v>
      </c>
      <c r="N91" s="63">
        <v>82.328494</v>
      </c>
      <c r="O91" s="63">
        <v>80.394626</v>
      </c>
      <c r="P91" s="86"/>
      <c r="Q91" s="103">
        <v>79.3942173675416</v>
      </c>
      <c r="R91" s="103">
        <v>68.709731151989</v>
      </c>
      <c r="S91" s="103">
        <v>89.0255428697365</v>
      </c>
      <c r="T91" s="103">
        <v>57.7833538905755</v>
      </c>
      <c r="U91" s="103">
        <v>89.0922299614838</v>
      </c>
      <c r="V91" s="86"/>
      <c r="W91" s="158">
        <v>79.6754080337494</v>
      </c>
      <c r="X91" s="158">
        <v>68.9254560630886</v>
      </c>
      <c r="Y91" s="158">
        <v>87.277556009666</v>
      </c>
      <c r="Z91" s="158">
        <v>55.1152214668593</v>
      </c>
      <c r="AA91" s="158">
        <v>86.8777733332463</v>
      </c>
      <c r="AB91" s="159"/>
      <c r="AC91" s="158">
        <v>78.3563556309644</v>
      </c>
      <c r="AD91" s="158">
        <v>74.8502674412758</v>
      </c>
      <c r="AE91" s="158">
        <v>85.6647767314906</v>
      </c>
      <c r="AF91" s="158">
        <v>57.3214844216518</v>
      </c>
      <c r="AG91" s="158">
        <v>88.0675715613872</v>
      </c>
      <c r="AH91" s="9"/>
      <c r="AI91" s="63">
        <v>78.2218073577638</v>
      </c>
      <c r="AJ91" s="63">
        <v>71.2835673571299</v>
      </c>
      <c r="AK91" s="63">
        <v>87.0291041255055</v>
      </c>
      <c r="AL91" s="63">
        <v>57.845656242143</v>
      </c>
      <c r="AM91" s="63">
        <v>87.9294209776638</v>
      </c>
      <c r="AN91" s="9"/>
      <c r="AO91" s="50">
        <v>80.31104</v>
      </c>
      <c r="AP91" s="50">
        <v>74.06252</v>
      </c>
      <c r="AQ91" s="50">
        <v>85.06982</v>
      </c>
      <c r="AR91" s="50">
        <v>53.82461</v>
      </c>
      <c r="AS91" s="50">
        <v>90.62065</v>
      </c>
      <c r="AU91" s="50">
        <v>81.85623</v>
      </c>
      <c r="AV91" s="50">
        <v>77.57325</v>
      </c>
      <c r="AW91" s="50">
        <v>84.92262</v>
      </c>
      <c r="AX91" s="50">
        <v>63.92984</v>
      </c>
      <c r="AY91" s="50">
        <v>93.32572</v>
      </c>
      <c r="BA91" s="50">
        <v>82.02627</v>
      </c>
      <c r="BB91" s="50">
        <v>76.66281</v>
      </c>
      <c r="BC91" s="50">
        <v>87.16797</v>
      </c>
      <c r="BD91" s="50">
        <v>62.39418</v>
      </c>
      <c r="BE91" s="50">
        <v>93.06346</v>
      </c>
      <c r="BG91" s="50">
        <v>84.18397</v>
      </c>
      <c r="BH91" s="50">
        <v>81.54324</v>
      </c>
      <c r="BI91" s="50">
        <v>86.84735</v>
      </c>
      <c r="BJ91" s="50">
        <v>65.57384</v>
      </c>
      <c r="BK91" s="50">
        <v>93.49407</v>
      </c>
      <c r="BM91" s="50">
        <v>78.73769</v>
      </c>
      <c r="BN91" s="50">
        <v>80.58322</v>
      </c>
      <c r="BO91" s="50">
        <v>86.90501</v>
      </c>
      <c r="BP91" s="50">
        <v>66.03918</v>
      </c>
      <c r="BQ91" s="50">
        <v>89.70803</v>
      </c>
    </row>
    <row r="92" spans="1:69" ht="12.75">
      <c r="A92" s="2">
        <f>VLOOKUP(E92,'SHA cluster table data'!B88:C259,2,FALSE)</f>
        <v>85</v>
      </c>
      <c r="B92" s="2">
        <v>89</v>
      </c>
      <c r="C92" s="42" t="str">
        <f>VLOOKUP(E92,'SHA cluster table data'!$B$4:$G$171,6,FALSE)</f>
        <v>Q31</v>
      </c>
      <c r="D92" s="42" t="s">
        <v>214</v>
      </c>
      <c r="E92" s="71" t="s">
        <v>330</v>
      </c>
      <c r="F92" s="71">
        <v>89</v>
      </c>
      <c r="G92" s="104">
        <v>66.1336930255687</v>
      </c>
      <c r="H92" s="154">
        <f t="shared" si="2"/>
        <v>64.46697448473176</v>
      </c>
      <c r="I92" s="155">
        <f t="shared" si="3"/>
        <v>65.39915306357285</v>
      </c>
      <c r="J92" s="63">
        <v>63.21168963891686</v>
      </c>
      <c r="K92" s="63">
        <v>63.158621999999994</v>
      </c>
      <c r="L92" s="63">
        <v>64.84080800000001</v>
      </c>
      <c r="M92" s="63">
        <v>66.819092</v>
      </c>
      <c r="N92" s="63">
        <v>68.37960000000001</v>
      </c>
      <c r="O92" s="63">
        <v>67.982144</v>
      </c>
      <c r="P92" s="86"/>
      <c r="Q92" s="103">
        <v>70.3398978216294</v>
      </c>
      <c r="R92" s="103">
        <v>58.6492669297479</v>
      </c>
      <c r="S92" s="103">
        <v>83.701725777533</v>
      </c>
      <c r="T92" s="103">
        <v>45.9603478103342</v>
      </c>
      <c r="U92" s="103">
        <v>72.0172267885991</v>
      </c>
      <c r="V92" s="86"/>
      <c r="W92" s="158">
        <v>68.3712236627715</v>
      </c>
      <c r="X92" s="158">
        <v>59.2642782006561</v>
      </c>
      <c r="Y92" s="158">
        <v>82.2236162925934</v>
      </c>
      <c r="Z92" s="158">
        <v>44.4286991078207</v>
      </c>
      <c r="AA92" s="158">
        <v>68.0470551598171</v>
      </c>
      <c r="AB92" s="159"/>
      <c r="AC92" s="158">
        <v>69.6013786541056</v>
      </c>
      <c r="AD92" s="158">
        <v>63.6558235627139</v>
      </c>
      <c r="AE92" s="158">
        <v>82.5705937006555</v>
      </c>
      <c r="AF92" s="158">
        <v>40.398831236991</v>
      </c>
      <c r="AG92" s="158">
        <v>70.7691381633983</v>
      </c>
      <c r="AH92" s="9"/>
      <c r="AI92" s="63">
        <v>67.6855926607019</v>
      </c>
      <c r="AJ92" s="63">
        <v>54.9425746347553</v>
      </c>
      <c r="AK92" s="63">
        <v>79.9766908672904</v>
      </c>
      <c r="AL92" s="63">
        <v>42.5857422809076</v>
      </c>
      <c r="AM92" s="63">
        <v>70.8678477509291</v>
      </c>
      <c r="AN92" s="9"/>
      <c r="AO92" s="50">
        <v>67.4548</v>
      </c>
      <c r="AP92" s="50">
        <v>55.33514</v>
      </c>
      <c r="AQ92" s="50">
        <v>78.08799</v>
      </c>
      <c r="AR92" s="50">
        <v>42.61943</v>
      </c>
      <c r="AS92" s="50">
        <v>72.29575</v>
      </c>
      <c r="AU92" s="50">
        <v>67.27057</v>
      </c>
      <c r="AV92" s="50">
        <v>59.03643</v>
      </c>
      <c r="AW92" s="50">
        <v>79.91975</v>
      </c>
      <c r="AX92" s="50">
        <v>45.08756</v>
      </c>
      <c r="AY92" s="50">
        <v>72.88973</v>
      </c>
      <c r="BA92" s="50">
        <v>70.56295</v>
      </c>
      <c r="BB92" s="50">
        <v>61.25119</v>
      </c>
      <c r="BC92" s="50">
        <v>83.37999</v>
      </c>
      <c r="BD92" s="50">
        <v>45.80402</v>
      </c>
      <c r="BE92" s="50">
        <v>73.09731</v>
      </c>
      <c r="BG92" s="50">
        <v>70.45746</v>
      </c>
      <c r="BH92" s="50">
        <v>61.50349</v>
      </c>
      <c r="BI92" s="50">
        <v>85.27294</v>
      </c>
      <c r="BJ92" s="50">
        <v>50.63584</v>
      </c>
      <c r="BK92" s="50">
        <v>74.02827</v>
      </c>
      <c r="BM92" s="50">
        <v>67.91679</v>
      </c>
      <c r="BN92" s="50">
        <v>64.86174</v>
      </c>
      <c r="BO92" s="50">
        <v>81.15208</v>
      </c>
      <c r="BP92" s="50">
        <v>50.14798</v>
      </c>
      <c r="BQ92" s="50">
        <v>75.83213</v>
      </c>
    </row>
    <row r="93" spans="1:69" ht="12.75">
      <c r="A93" s="2">
        <f>VLOOKUP(E93,'SHA cluster table data'!B89:C260,2,FALSE)</f>
        <v>86</v>
      </c>
      <c r="B93" s="2">
        <v>90</v>
      </c>
      <c r="C93" s="42" t="str">
        <f>VLOOKUP(E93,'SHA cluster table data'!$B$4:$G$171,6,FALSE)</f>
        <v>Q34</v>
      </c>
      <c r="D93" s="42" t="s">
        <v>246</v>
      </c>
      <c r="E93" s="71" t="s">
        <v>403</v>
      </c>
      <c r="F93" s="71">
        <v>90</v>
      </c>
      <c r="G93" s="104">
        <v>67.2370947095526</v>
      </c>
      <c r="H93" s="154">
        <f t="shared" si="2"/>
        <v>69.38210821543339</v>
      </c>
      <c r="I93" s="155">
        <f t="shared" si="3"/>
        <v>65.12850838470882</v>
      </c>
      <c r="J93" s="63">
        <v>64.86029877912132</v>
      </c>
      <c r="K93" s="63">
        <v>66.02319</v>
      </c>
      <c r="L93" s="63">
        <v>65.567016</v>
      </c>
      <c r="M93" s="63">
        <v>71.954806</v>
      </c>
      <c r="N93" s="63">
        <v>70.087056</v>
      </c>
      <c r="O93" s="63">
        <v>67.425076</v>
      </c>
      <c r="P93" s="86"/>
      <c r="Q93" s="103">
        <v>73.0547073663833</v>
      </c>
      <c r="R93" s="103">
        <v>55.3202631336764</v>
      </c>
      <c r="S93" s="103">
        <v>87.8109549802136</v>
      </c>
      <c r="T93" s="103">
        <v>45.5933877089708</v>
      </c>
      <c r="U93" s="103">
        <v>74.4061603585188</v>
      </c>
      <c r="V93" s="86"/>
      <c r="W93" s="158">
        <v>71.907116757472</v>
      </c>
      <c r="X93" s="158">
        <v>60.8793154053972</v>
      </c>
      <c r="Y93" s="158">
        <v>85.632636514505</v>
      </c>
      <c r="Z93" s="158">
        <v>49.6611916455935</v>
      </c>
      <c r="AA93" s="158">
        <v>78.8302807541993</v>
      </c>
      <c r="AB93" s="159"/>
      <c r="AC93" s="158">
        <v>70.7590787182158</v>
      </c>
      <c r="AD93" s="158">
        <v>55.4545863866576</v>
      </c>
      <c r="AE93" s="158">
        <v>79.5961769943536</v>
      </c>
      <c r="AF93" s="158">
        <v>46.9446136104017</v>
      </c>
      <c r="AG93" s="158">
        <v>72.8880862139154</v>
      </c>
      <c r="AH93" s="9"/>
      <c r="AI93" s="63">
        <v>69.2026689525435</v>
      </c>
      <c r="AJ93" s="63">
        <v>53.7047402344117</v>
      </c>
      <c r="AK93" s="63">
        <v>78.0137365872542</v>
      </c>
      <c r="AL93" s="63">
        <v>48.3988693945306</v>
      </c>
      <c r="AM93" s="63">
        <v>74.9814787268666</v>
      </c>
      <c r="AN93" s="9"/>
      <c r="AO93" s="50">
        <v>71.62154</v>
      </c>
      <c r="AP93" s="50">
        <v>59.26612</v>
      </c>
      <c r="AQ93" s="50">
        <v>79.84523</v>
      </c>
      <c r="AR93" s="50">
        <v>45.98534</v>
      </c>
      <c r="AS93" s="50">
        <v>73.39772</v>
      </c>
      <c r="AU93" s="50">
        <v>71.31751</v>
      </c>
      <c r="AV93" s="50">
        <v>57.43134</v>
      </c>
      <c r="AW93" s="50">
        <v>77.26521</v>
      </c>
      <c r="AX93" s="50">
        <v>45.49439</v>
      </c>
      <c r="AY93" s="50">
        <v>76.32663</v>
      </c>
      <c r="BA93" s="50">
        <v>76.20419</v>
      </c>
      <c r="BB93" s="50">
        <v>64.35057</v>
      </c>
      <c r="BC93" s="50">
        <v>82.96026</v>
      </c>
      <c r="BD93" s="50">
        <v>57.57494</v>
      </c>
      <c r="BE93" s="50">
        <v>78.68407</v>
      </c>
      <c r="BG93" s="50">
        <v>73.13338</v>
      </c>
      <c r="BH93" s="50">
        <v>64.62737</v>
      </c>
      <c r="BI93" s="50">
        <v>82.20346</v>
      </c>
      <c r="BJ93" s="50">
        <v>50.1693</v>
      </c>
      <c r="BK93" s="50">
        <v>80.30177</v>
      </c>
      <c r="BM93" s="50">
        <v>70.82224</v>
      </c>
      <c r="BN93" s="50">
        <v>63.68039</v>
      </c>
      <c r="BO93" s="50">
        <v>78.8256</v>
      </c>
      <c r="BP93" s="50">
        <v>44.97693</v>
      </c>
      <c r="BQ93" s="50">
        <v>78.82022</v>
      </c>
    </row>
    <row r="94" spans="1:69" ht="12.75">
      <c r="A94" s="2">
        <f>VLOOKUP(E94,'SHA cluster table data'!B90:C261,2,FALSE)</f>
        <v>87</v>
      </c>
      <c r="B94" s="2">
        <v>91</v>
      </c>
      <c r="C94" s="42" t="str">
        <f>VLOOKUP(E94,'SHA cluster table data'!$B$4:$G$171,6,FALSE)</f>
        <v>Q39</v>
      </c>
      <c r="D94" s="42" t="s">
        <v>67</v>
      </c>
      <c r="E94" s="71" t="s">
        <v>401</v>
      </c>
      <c r="F94" s="71">
        <v>91</v>
      </c>
      <c r="G94" s="104">
        <v>67.300240646397</v>
      </c>
      <c r="H94" s="154">
        <f t="shared" si="2"/>
        <v>66.43737657427462</v>
      </c>
      <c r="I94" s="155">
        <f t="shared" si="3"/>
        <v>67.48154044165344</v>
      </c>
      <c r="J94" s="63">
        <v>68.60742195499519</v>
      </c>
      <c r="K94" s="63">
        <v>66.63259</v>
      </c>
      <c r="L94" s="63">
        <v>67.56798599999999</v>
      </c>
      <c r="M94" s="63">
        <v>70.69878</v>
      </c>
      <c r="N94" s="63">
        <v>71.792312</v>
      </c>
      <c r="O94" s="63">
        <v>72.55212399999999</v>
      </c>
      <c r="P94" s="86"/>
      <c r="Q94" s="103">
        <v>72.42502596767</v>
      </c>
      <c r="R94" s="103">
        <v>55.7768040405821</v>
      </c>
      <c r="S94" s="103">
        <v>81.2440151211167</v>
      </c>
      <c r="T94" s="103">
        <v>45.4591226763992</v>
      </c>
      <c r="U94" s="103">
        <v>81.5962354262172</v>
      </c>
      <c r="V94" s="86"/>
      <c r="W94" s="158">
        <v>72.3757592017511</v>
      </c>
      <c r="X94" s="158">
        <v>56.8145296589329</v>
      </c>
      <c r="Y94" s="158">
        <v>81.4089823654565</v>
      </c>
      <c r="Z94" s="158">
        <v>43.7211491534421</v>
      </c>
      <c r="AA94" s="158">
        <v>77.8664624917905</v>
      </c>
      <c r="AB94" s="159"/>
      <c r="AC94" s="158">
        <v>72.4790951005485</v>
      </c>
      <c r="AD94" s="158">
        <v>57.2239225365978</v>
      </c>
      <c r="AE94" s="158">
        <v>80.579479160568</v>
      </c>
      <c r="AF94" s="158">
        <v>47.6018373882327</v>
      </c>
      <c r="AG94" s="158">
        <v>79.5233680223202</v>
      </c>
      <c r="AH94" s="9"/>
      <c r="AI94" s="63">
        <v>73.7432625310269</v>
      </c>
      <c r="AJ94" s="63">
        <v>59.7263797963796</v>
      </c>
      <c r="AK94" s="63">
        <v>80.675815858252</v>
      </c>
      <c r="AL94" s="63">
        <v>47.3909392783843</v>
      </c>
      <c r="AM94" s="63">
        <v>81.5007123109332</v>
      </c>
      <c r="AN94" s="9"/>
      <c r="AO94" s="50">
        <v>72.13539</v>
      </c>
      <c r="AP94" s="50">
        <v>56.06742</v>
      </c>
      <c r="AQ94" s="50">
        <v>77.52108</v>
      </c>
      <c r="AR94" s="50">
        <v>48.28859</v>
      </c>
      <c r="AS94" s="50">
        <v>79.15047</v>
      </c>
      <c r="AU94" s="50">
        <v>73.38313</v>
      </c>
      <c r="AV94" s="50">
        <v>62.26157</v>
      </c>
      <c r="AW94" s="50">
        <v>79.41143</v>
      </c>
      <c r="AX94" s="50">
        <v>43.39745</v>
      </c>
      <c r="AY94" s="50">
        <v>79.38635</v>
      </c>
      <c r="BA94" s="50">
        <v>76.78677</v>
      </c>
      <c r="BB94" s="50">
        <v>64.28327</v>
      </c>
      <c r="BC94" s="50">
        <v>82.17735</v>
      </c>
      <c r="BD94" s="50">
        <v>48.32206</v>
      </c>
      <c r="BE94" s="50">
        <v>81.92445</v>
      </c>
      <c r="BG94" s="50">
        <v>74.72372</v>
      </c>
      <c r="BH94" s="50">
        <v>68.73661</v>
      </c>
      <c r="BI94" s="50">
        <v>82.76615</v>
      </c>
      <c r="BJ94" s="50">
        <v>50.39087</v>
      </c>
      <c r="BK94" s="50">
        <v>82.34421</v>
      </c>
      <c r="BM94" s="50">
        <v>75.93364</v>
      </c>
      <c r="BN94" s="50">
        <v>65.54229</v>
      </c>
      <c r="BO94" s="50">
        <v>80.85508</v>
      </c>
      <c r="BP94" s="50">
        <v>54.00656</v>
      </c>
      <c r="BQ94" s="50">
        <v>86.42305</v>
      </c>
    </row>
    <row r="95" spans="1:69" ht="12.75">
      <c r="A95" s="2">
        <f>VLOOKUP(E95,'SHA cluster table data'!B91:C262,2,FALSE)</f>
        <v>88</v>
      </c>
      <c r="B95" s="1">
        <v>92</v>
      </c>
      <c r="C95" s="42" t="str">
        <f>VLOOKUP(E95,'SHA cluster table data'!$B$4:$G$171,6,FALSE)</f>
        <v>Q39</v>
      </c>
      <c r="D95" s="42" t="s">
        <v>102</v>
      </c>
      <c r="E95" s="71" t="s">
        <v>288</v>
      </c>
      <c r="F95" s="71">
        <v>92</v>
      </c>
      <c r="G95" s="104">
        <v>71.477771212467</v>
      </c>
      <c r="H95" s="154">
        <f t="shared" si="2"/>
        <v>70.87468778782952</v>
      </c>
      <c r="I95" s="155">
        <f t="shared" si="3"/>
        <v>71.97270613774283</v>
      </c>
      <c r="J95" s="63">
        <v>68.58508370060306</v>
      </c>
      <c r="K95" s="63">
        <v>70.153152</v>
      </c>
      <c r="L95" s="63">
        <v>70.83481800000001</v>
      </c>
      <c r="M95" s="63">
        <v>71.010636</v>
      </c>
      <c r="N95" s="63">
        <v>68.054406</v>
      </c>
      <c r="O95" s="63">
        <v>68.255522</v>
      </c>
      <c r="P95" s="86"/>
      <c r="Q95" s="103">
        <v>78.1811552785729</v>
      </c>
      <c r="R95" s="103">
        <v>63.1009219062928</v>
      </c>
      <c r="S95" s="103">
        <v>86.777797688053</v>
      </c>
      <c r="T95" s="103">
        <v>50.4890952469019</v>
      </c>
      <c r="U95" s="103">
        <v>78.8398859425146</v>
      </c>
      <c r="V95" s="86"/>
      <c r="W95" s="158">
        <v>74.6281282518776</v>
      </c>
      <c r="X95" s="158">
        <v>64.2362431217747</v>
      </c>
      <c r="Y95" s="158">
        <v>84.1445884490123</v>
      </c>
      <c r="Z95" s="158">
        <v>52.6341881089628</v>
      </c>
      <c r="AA95" s="158">
        <v>78.7302910075202</v>
      </c>
      <c r="AB95" s="159"/>
      <c r="AC95" s="158">
        <v>73.8278229967658</v>
      </c>
      <c r="AD95" s="158">
        <v>68.7973022631893</v>
      </c>
      <c r="AE95" s="158">
        <v>85.7654901977101</v>
      </c>
      <c r="AF95" s="158">
        <v>52.1892590316759</v>
      </c>
      <c r="AG95" s="158">
        <v>79.283656199373</v>
      </c>
      <c r="AH95" s="9"/>
      <c r="AI95" s="63">
        <v>74.3383737475334</v>
      </c>
      <c r="AJ95" s="63">
        <v>61.4958477946564</v>
      </c>
      <c r="AK95" s="63">
        <v>82.1189033272112</v>
      </c>
      <c r="AL95" s="63">
        <v>48.1839626368707</v>
      </c>
      <c r="AM95" s="63">
        <v>76.7883309967436</v>
      </c>
      <c r="AN95" s="9"/>
      <c r="AO95" s="50">
        <v>74.61978</v>
      </c>
      <c r="AP95" s="50">
        <v>68.47032</v>
      </c>
      <c r="AQ95" s="50">
        <v>83.28741</v>
      </c>
      <c r="AR95" s="50">
        <v>48.8902</v>
      </c>
      <c r="AS95" s="50">
        <v>75.49805</v>
      </c>
      <c r="AU95" s="50">
        <v>75.58033</v>
      </c>
      <c r="AV95" s="50">
        <v>64.74817</v>
      </c>
      <c r="AW95" s="50">
        <v>83.76746</v>
      </c>
      <c r="AX95" s="50">
        <v>52.28767</v>
      </c>
      <c r="AY95" s="50">
        <v>77.79046</v>
      </c>
      <c r="BA95" s="50">
        <v>75.81384</v>
      </c>
      <c r="BB95" s="50">
        <v>66.60078</v>
      </c>
      <c r="BC95" s="50">
        <v>83.86661</v>
      </c>
      <c r="BD95" s="50">
        <v>50.42522</v>
      </c>
      <c r="BE95" s="50">
        <v>78.34673</v>
      </c>
      <c r="BG95" s="50">
        <v>69.71027</v>
      </c>
      <c r="BH95" s="50">
        <v>63.37702</v>
      </c>
      <c r="BI95" s="50">
        <v>81.17728</v>
      </c>
      <c r="BJ95" s="50">
        <v>48.72011</v>
      </c>
      <c r="BK95" s="50">
        <v>77.28735</v>
      </c>
      <c r="BM95" s="50">
        <v>73.44474</v>
      </c>
      <c r="BN95" s="50">
        <v>62.85267</v>
      </c>
      <c r="BO95" s="50">
        <v>83.16729</v>
      </c>
      <c r="BP95" s="50">
        <v>45.98623</v>
      </c>
      <c r="BQ95" s="50">
        <v>75.82668</v>
      </c>
    </row>
    <row r="96" spans="1:69" ht="12.75">
      <c r="A96" s="2">
        <f>VLOOKUP(E96,'SHA cluster table data'!B92:C263,2,FALSE)</f>
        <v>89</v>
      </c>
      <c r="B96" s="2">
        <v>93</v>
      </c>
      <c r="C96" s="42" t="str">
        <f>VLOOKUP(E96,'SHA cluster table data'!$B$4:$G$171,6,FALSE)</f>
        <v>Q39</v>
      </c>
      <c r="D96" s="42" t="s">
        <v>142</v>
      </c>
      <c r="E96" s="71" t="s">
        <v>289</v>
      </c>
      <c r="F96" s="71">
        <v>93</v>
      </c>
      <c r="G96" s="104">
        <v>67.1247948139117</v>
      </c>
      <c r="H96" s="154">
        <f t="shared" si="2"/>
        <v>65.89804316897872</v>
      </c>
      <c r="I96" s="155">
        <f t="shared" si="3"/>
        <v>65.70659003125051</v>
      </c>
      <c r="J96" s="63">
        <v>63.11249524773888</v>
      </c>
      <c r="K96" s="63">
        <v>64.939026</v>
      </c>
      <c r="L96" s="63">
        <v>63.35554</v>
      </c>
      <c r="M96" s="63">
        <v>70.42326</v>
      </c>
      <c r="N96" s="63">
        <v>70.78931800000001</v>
      </c>
      <c r="O96" s="63">
        <v>67.47063</v>
      </c>
      <c r="P96" s="86"/>
      <c r="Q96" s="103">
        <v>73.8422359337747</v>
      </c>
      <c r="R96" s="103">
        <v>58.0120180915252</v>
      </c>
      <c r="S96" s="103">
        <v>86.4411924254013</v>
      </c>
      <c r="T96" s="103">
        <v>43.7057852394316</v>
      </c>
      <c r="U96" s="103">
        <v>73.6227423794256</v>
      </c>
      <c r="V96" s="86"/>
      <c r="W96" s="158">
        <v>69.2958487785485</v>
      </c>
      <c r="X96" s="158">
        <v>57.7695081692399</v>
      </c>
      <c r="Y96" s="158">
        <v>84.8268109002405</v>
      </c>
      <c r="Z96" s="158">
        <v>45.0844303133983</v>
      </c>
      <c r="AA96" s="158">
        <v>72.5136176834664</v>
      </c>
      <c r="AB96" s="159"/>
      <c r="AC96" s="158">
        <v>71.2301873928256</v>
      </c>
      <c r="AD96" s="158">
        <v>56.7495418949877</v>
      </c>
      <c r="AE96" s="158">
        <v>82.9837840286695</v>
      </c>
      <c r="AF96" s="158">
        <v>44.059239436086</v>
      </c>
      <c r="AG96" s="158">
        <v>73.5101974036838</v>
      </c>
      <c r="AH96" s="9"/>
      <c r="AI96" s="63">
        <v>68.2013265165148</v>
      </c>
      <c r="AJ96" s="63">
        <v>53.8625519448163</v>
      </c>
      <c r="AK96" s="63">
        <v>79.4536813933251</v>
      </c>
      <c r="AL96" s="63">
        <v>44.4352529856044</v>
      </c>
      <c r="AM96" s="63">
        <v>69.6096633984338</v>
      </c>
      <c r="AN96" s="9"/>
      <c r="AO96" s="50">
        <v>68.49148</v>
      </c>
      <c r="AP96" s="50">
        <v>57.2564</v>
      </c>
      <c r="AQ96" s="50">
        <v>77.82407</v>
      </c>
      <c r="AR96" s="50">
        <v>47.67654</v>
      </c>
      <c r="AS96" s="50">
        <v>73.44664</v>
      </c>
      <c r="AU96" s="50">
        <v>68.21186</v>
      </c>
      <c r="AV96" s="50">
        <v>56.3665</v>
      </c>
      <c r="AW96" s="50">
        <v>78.21805</v>
      </c>
      <c r="AX96" s="50">
        <v>43.98301</v>
      </c>
      <c r="AY96" s="50">
        <v>69.99828</v>
      </c>
      <c r="BA96" s="50">
        <v>72.13679</v>
      </c>
      <c r="BB96" s="50">
        <v>63.32483</v>
      </c>
      <c r="BC96" s="50">
        <v>82.71153</v>
      </c>
      <c r="BD96" s="50">
        <v>54.18641</v>
      </c>
      <c r="BE96" s="50">
        <v>79.75674</v>
      </c>
      <c r="BG96" s="50">
        <v>73.57973</v>
      </c>
      <c r="BH96" s="50">
        <v>59.99111</v>
      </c>
      <c r="BI96" s="50">
        <v>83.40606</v>
      </c>
      <c r="BJ96" s="50">
        <v>56.1218</v>
      </c>
      <c r="BK96" s="50">
        <v>80.84789</v>
      </c>
      <c r="BM96" s="50">
        <v>71.82767</v>
      </c>
      <c r="BN96" s="50">
        <v>61.64938</v>
      </c>
      <c r="BO96" s="50">
        <v>81.71281</v>
      </c>
      <c r="BP96" s="50">
        <v>45.183</v>
      </c>
      <c r="BQ96" s="50">
        <v>76.98029</v>
      </c>
    </row>
    <row r="97" spans="1:69" ht="12.75">
      <c r="A97" s="2">
        <f>VLOOKUP(E97,'SHA cluster table data'!B93:C264,2,FALSE)</f>
      </c>
      <c r="B97" s="2">
        <v>94</v>
      </c>
      <c r="C97" s="42" t="str">
        <f>VLOOKUP(E97,'SHA cluster table data'!$B$4:$G$171,6,FALSE)</f>
        <v>Q36</v>
      </c>
      <c r="D97" s="23" t="s">
        <v>3</v>
      </c>
      <c r="E97" s="71" t="s">
        <v>358</v>
      </c>
      <c r="F97" s="71">
        <v>94</v>
      </c>
      <c r="G97" s="104" t="s">
        <v>426</v>
      </c>
      <c r="H97" s="156" t="s">
        <v>426</v>
      </c>
      <c r="I97" s="157" t="s">
        <v>426</v>
      </c>
      <c r="J97" s="63" t="s">
        <v>426</v>
      </c>
      <c r="K97" s="63">
        <v>65.368068</v>
      </c>
      <c r="L97" s="63">
        <v>62.565571999999996</v>
      </c>
      <c r="M97" s="63">
        <v>60.595344</v>
      </c>
      <c r="N97" s="63">
        <v>62.791999999999994</v>
      </c>
      <c r="O97" s="63">
        <v>62.202636</v>
      </c>
      <c r="P97" s="86"/>
      <c r="Q97" s="103" t="s">
        <v>426</v>
      </c>
      <c r="R97" s="103" t="s">
        <v>426</v>
      </c>
      <c r="S97" s="103" t="s">
        <v>426</v>
      </c>
      <c r="T97" s="103" t="s">
        <v>426</v>
      </c>
      <c r="U97" s="103" t="s">
        <v>426</v>
      </c>
      <c r="V97" s="86"/>
      <c r="W97" s="158" t="s">
        <v>426</v>
      </c>
      <c r="X97" s="158" t="s">
        <v>426</v>
      </c>
      <c r="Y97" s="158" t="s">
        <v>426</v>
      </c>
      <c r="Z97" s="158" t="s">
        <v>426</v>
      </c>
      <c r="AA97" s="158" t="s">
        <v>426</v>
      </c>
      <c r="AB97" s="159"/>
      <c r="AC97" s="158" t="s">
        <v>426</v>
      </c>
      <c r="AD97" s="158" t="s">
        <v>426</v>
      </c>
      <c r="AE97" s="158" t="s">
        <v>426</v>
      </c>
      <c r="AF97" s="158" t="s">
        <v>426</v>
      </c>
      <c r="AG97" s="158" t="s">
        <v>426</v>
      </c>
      <c r="AH97" s="9"/>
      <c r="AI97" s="63" t="s">
        <v>426</v>
      </c>
      <c r="AJ97" s="63" t="s">
        <v>426</v>
      </c>
      <c r="AK97" s="63" t="s">
        <v>426</v>
      </c>
      <c r="AL97" s="63" t="s">
        <v>426</v>
      </c>
      <c r="AM97" s="63" t="s">
        <v>426</v>
      </c>
      <c r="AN97" s="9"/>
      <c r="AO97" s="50">
        <v>67.90625</v>
      </c>
      <c r="AP97" s="50">
        <v>60.87203</v>
      </c>
      <c r="AQ97" s="50">
        <v>81.73643</v>
      </c>
      <c r="AR97" s="50">
        <v>44.25365</v>
      </c>
      <c r="AS97" s="50">
        <v>72.07198</v>
      </c>
      <c r="AU97" s="50">
        <v>67.17092</v>
      </c>
      <c r="AV97" s="50">
        <v>52.98446</v>
      </c>
      <c r="AW97" s="50">
        <v>75.0732</v>
      </c>
      <c r="AX97" s="50">
        <v>45.15177</v>
      </c>
      <c r="AY97" s="50">
        <v>72.44751</v>
      </c>
      <c r="BA97" s="50">
        <v>64.34027</v>
      </c>
      <c r="BB97" s="50">
        <v>55.80296</v>
      </c>
      <c r="BC97" s="50">
        <v>77.05099</v>
      </c>
      <c r="BD97" s="50">
        <v>37.36731</v>
      </c>
      <c r="BE97" s="50">
        <v>68.41519</v>
      </c>
      <c r="BG97" s="50">
        <v>66.7292</v>
      </c>
      <c r="BH97" s="50">
        <v>56.31816</v>
      </c>
      <c r="BI97" s="50">
        <v>78.80969</v>
      </c>
      <c r="BJ97" s="50">
        <v>42.66659</v>
      </c>
      <c r="BK97" s="50">
        <v>69.43636</v>
      </c>
      <c r="BM97" s="50">
        <v>64.37607</v>
      </c>
      <c r="BN97" s="50">
        <v>55.01316</v>
      </c>
      <c r="BO97" s="50">
        <v>78.23071</v>
      </c>
      <c r="BP97" s="50">
        <v>43.13523</v>
      </c>
      <c r="BQ97" s="50">
        <v>70.25801</v>
      </c>
    </row>
    <row r="98" spans="1:69" ht="12.75">
      <c r="A98" s="2">
        <f>VLOOKUP(E98,'SHA cluster table data'!B165:C265,2,FALSE)</f>
      </c>
      <c r="B98" s="2">
        <v>95</v>
      </c>
      <c r="C98" s="42" t="str">
        <f>VLOOKUP(E98,'SHA cluster table data'!$B$4:$G$171,6,FALSE)</f>
        <v>Q36</v>
      </c>
      <c r="D98" s="23" t="s">
        <v>68</v>
      </c>
      <c r="E98" s="71" t="s">
        <v>402</v>
      </c>
      <c r="F98" s="71">
        <v>95</v>
      </c>
      <c r="G98" s="104" t="s">
        <v>426</v>
      </c>
      <c r="H98" s="156" t="s">
        <v>426</v>
      </c>
      <c r="I98" s="157" t="s">
        <v>426</v>
      </c>
      <c r="J98" s="63" t="s">
        <v>426</v>
      </c>
      <c r="K98" s="63">
        <v>59.312686</v>
      </c>
      <c r="L98" s="63">
        <v>60.880666</v>
      </c>
      <c r="M98" s="63">
        <v>57.267298</v>
      </c>
      <c r="N98" s="63">
        <v>63.19059</v>
      </c>
      <c r="O98" s="63">
        <v>56.143898</v>
      </c>
      <c r="P98" s="86"/>
      <c r="Q98" s="103" t="s">
        <v>426</v>
      </c>
      <c r="R98" s="103" t="s">
        <v>426</v>
      </c>
      <c r="S98" s="103" t="s">
        <v>426</v>
      </c>
      <c r="T98" s="103" t="s">
        <v>426</v>
      </c>
      <c r="U98" s="103" t="s">
        <v>426</v>
      </c>
      <c r="V98" s="86"/>
      <c r="W98" s="158" t="s">
        <v>426</v>
      </c>
      <c r="X98" s="158" t="s">
        <v>426</v>
      </c>
      <c r="Y98" s="158" t="s">
        <v>426</v>
      </c>
      <c r="Z98" s="158" t="s">
        <v>426</v>
      </c>
      <c r="AA98" s="158" t="s">
        <v>426</v>
      </c>
      <c r="AB98" s="159"/>
      <c r="AC98" s="158" t="s">
        <v>426</v>
      </c>
      <c r="AD98" s="158" t="s">
        <v>426</v>
      </c>
      <c r="AE98" s="158" t="s">
        <v>426</v>
      </c>
      <c r="AF98" s="158" t="s">
        <v>426</v>
      </c>
      <c r="AG98" s="158" t="s">
        <v>426</v>
      </c>
      <c r="AH98" s="9"/>
      <c r="AI98" s="63" t="s">
        <v>426</v>
      </c>
      <c r="AJ98" s="63" t="s">
        <v>426</v>
      </c>
      <c r="AK98" s="63" t="s">
        <v>426</v>
      </c>
      <c r="AL98" s="63" t="s">
        <v>426</v>
      </c>
      <c r="AM98" s="63" t="s">
        <v>426</v>
      </c>
      <c r="AN98" s="9"/>
      <c r="AO98" s="50">
        <v>67.43782</v>
      </c>
      <c r="AP98" s="50">
        <v>48.32634</v>
      </c>
      <c r="AQ98" s="50">
        <v>81.14619</v>
      </c>
      <c r="AR98" s="50">
        <v>35.94456</v>
      </c>
      <c r="AS98" s="50">
        <v>63.70852</v>
      </c>
      <c r="AU98" s="50">
        <v>69.17963</v>
      </c>
      <c r="AV98" s="50">
        <v>53.15168</v>
      </c>
      <c r="AW98" s="50">
        <v>79.41009</v>
      </c>
      <c r="AX98" s="50">
        <v>35.0853</v>
      </c>
      <c r="AY98" s="50">
        <v>67.57663</v>
      </c>
      <c r="BA98" s="50">
        <v>65.84454</v>
      </c>
      <c r="BB98" s="50">
        <v>48.08504</v>
      </c>
      <c r="BC98" s="50">
        <v>76.7388</v>
      </c>
      <c r="BD98" s="50">
        <v>31.97688</v>
      </c>
      <c r="BE98" s="50">
        <v>63.69123</v>
      </c>
      <c r="BG98" s="50">
        <v>68.55729</v>
      </c>
      <c r="BH98" s="50">
        <v>52.62244</v>
      </c>
      <c r="BI98" s="50">
        <v>81.00218</v>
      </c>
      <c r="BJ98" s="50">
        <v>45.19139</v>
      </c>
      <c r="BK98" s="50">
        <v>68.57965</v>
      </c>
      <c r="BM98" s="50">
        <v>62.38975</v>
      </c>
      <c r="BN98" s="50">
        <v>49.41216</v>
      </c>
      <c r="BO98" s="50">
        <v>75.16976</v>
      </c>
      <c r="BP98" s="50">
        <v>31.77005</v>
      </c>
      <c r="BQ98" s="50">
        <v>61.97777</v>
      </c>
    </row>
    <row r="99" spans="1:69" ht="12.75">
      <c r="A99" s="2">
        <f>VLOOKUP(E99,'SHA cluster table data'!B93:C266,2,FALSE)</f>
        <v>90</v>
      </c>
      <c r="B99" s="1">
        <v>96</v>
      </c>
      <c r="C99" s="42" t="str">
        <f>VLOOKUP(E99,'SHA cluster table data'!$B$4:$G$171,6,FALSE)</f>
        <v>Q39</v>
      </c>
      <c r="D99" s="42" t="s">
        <v>48</v>
      </c>
      <c r="E99" s="71" t="s">
        <v>377</v>
      </c>
      <c r="F99" s="71">
        <v>96</v>
      </c>
      <c r="G99" s="104">
        <v>84.0943517319214</v>
      </c>
      <c r="H99" s="154">
        <f t="shared" si="2"/>
        <v>85.01277792764338</v>
      </c>
      <c r="I99" s="155">
        <f t="shared" si="3"/>
        <v>82.5818226908337</v>
      </c>
      <c r="J99" s="63">
        <v>81.34891802359867</v>
      </c>
      <c r="K99" s="63">
        <v>82.117168</v>
      </c>
      <c r="L99" s="63">
        <v>80.42893</v>
      </c>
      <c r="M99" s="63">
        <v>79.0838</v>
      </c>
      <c r="N99" s="63">
        <v>82.23288</v>
      </c>
      <c r="O99" s="63">
        <v>78.52109</v>
      </c>
      <c r="P99" s="86"/>
      <c r="Q99" s="103">
        <v>84.8846742666014</v>
      </c>
      <c r="R99" s="103">
        <v>78.4484240105898</v>
      </c>
      <c r="S99" s="103">
        <v>93.4718924666236</v>
      </c>
      <c r="T99" s="103">
        <v>70.3769710162079</v>
      </c>
      <c r="U99" s="103">
        <v>93.2897968995843</v>
      </c>
      <c r="V99" s="86"/>
      <c r="W99" s="158">
        <v>85.2273993719435</v>
      </c>
      <c r="X99" s="158">
        <v>79.1142306629704</v>
      </c>
      <c r="Y99" s="158">
        <v>92.0535829460215</v>
      </c>
      <c r="Z99" s="158">
        <v>73.8249744833632</v>
      </c>
      <c r="AA99" s="158">
        <v>94.8437021739183</v>
      </c>
      <c r="AB99" s="159"/>
      <c r="AC99" s="158">
        <v>84.1582757459746</v>
      </c>
      <c r="AD99" s="158">
        <v>77.5945008584348</v>
      </c>
      <c r="AE99" s="158">
        <v>92.5740505863885</v>
      </c>
      <c r="AF99" s="158">
        <v>63.7840453061396</v>
      </c>
      <c r="AG99" s="158">
        <v>94.798240957231</v>
      </c>
      <c r="AH99" s="9"/>
      <c r="AI99" s="63">
        <v>82.1365247452035</v>
      </c>
      <c r="AJ99" s="63">
        <v>78.2474089253405</v>
      </c>
      <c r="AK99" s="63">
        <v>90.5836013879642</v>
      </c>
      <c r="AL99" s="63">
        <v>66.3421064706272</v>
      </c>
      <c r="AM99" s="63">
        <v>89.434948588858</v>
      </c>
      <c r="AN99" s="9"/>
      <c r="AO99" s="50">
        <v>84.54152</v>
      </c>
      <c r="AP99" s="50">
        <v>78.1351</v>
      </c>
      <c r="AQ99" s="50">
        <v>89.30338</v>
      </c>
      <c r="AR99" s="50">
        <v>68.20556</v>
      </c>
      <c r="AS99" s="50">
        <v>90.40028</v>
      </c>
      <c r="AU99" s="50">
        <v>81.90378</v>
      </c>
      <c r="AV99" s="50">
        <v>77.78501</v>
      </c>
      <c r="AW99" s="50">
        <v>91.64702</v>
      </c>
      <c r="AX99" s="50">
        <v>64.92122</v>
      </c>
      <c r="AY99" s="50">
        <v>85.88762</v>
      </c>
      <c r="BA99" s="50">
        <v>80.9172</v>
      </c>
      <c r="BB99" s="50">
        <v>75.30563</v>
      </c>
      <c r="BC99" s="50">
        <v>90.57809</v>
      </c>
      <c r="BD99" s="50">
        <v>57.47713</v>
      </c>
      <c r="BE99" s="50">
        <v>91.14095</v>
      </c>
      <c r="BG99" s="50">
        <v>83.88467</v>
      </c>
      <c r="BH99" s="50">
        <v>77.65498</v>
      </c>
      <c r="BI99" s="50">
        <v>91.11929</v>
      </c>
      <c r="BJ99" s="50">
        <v>66.97883</v>
      </c>
      <c r="BK99" s="50">
        <v>91.52663</v>
      </c>
      <c r="BM99" s="50">
        <v>80.94468</v>
      </c>
      <c r="BN99" s="50">
        <v>72.07819</v>
      </c>
      <c r="BO99" s="50">
        <v>85.88443</v>
      </c>
      <c r="BP99" s="50">
        <v>63.56425</v>
      </c>
      <c r="BQ99" s="50">
        <v>90.1339</v>
      </c>
    </row>
    <row r="100" spans="1:69" ht="12.75">
      <c r="A100" s="2">
        <f>VLOOKUP(E100,'SHA cluster table data'!B94:C267,2,FALSE)</f>
        <v>91</v>
      </c>
      <c r="B100" s="2">
        <v>97</v>
      </c>
      <c r="C100" s="42" t="str">
        <f>VLOOKUP(E100,'SHA cluster table data'!$B$4:$G$171,6,FALSE)</f>
        <v>Q34</v>
      </c>
      <c r="D100" s="42" t="s">
        <v>26</v>
      </c>
      <c r="E100" s="71" t="s">
        <v>291</v>
      </c>
      <c r="F100" s="71">
        <v>97</v>
      </c>
      <c r="G100" s="104">
        <v>79.0090427581354</v>
      </c>
      <c r="H100" s="154">
        <f t="shared" si="2"/>
        <v>80.41440150082647</v>
      </c>
      <c r="I100" s="155">
        <f t="shared" si="3"/>
        <v>82.48186972324612</v>
      </c>
      <c r="J100" s="63">
        <v>78.69496066837469</v>
      </c>
      <c r="K100" s="63">
        <v>78.48259399999999</v>
      </c>
      <c r="L100" s="63">
        <v>79.336898</v>
      </c>
      <c r="M100" s="63">
        <v>76.61623999999999</v>
      </c>
      <c r="N100" s="63">
        <v>81.75909999999999</v>
      </c>
      <c r="O100" s="63">
        <v>78.50290600000001</v>
      </c>
      <c r="P100" s="86"/>
      <c r="Q100" s="103">
        <v>83.1901349926411</v>
      </c>
      <c r="R100" s="103">
        <v>75.9972536760807</v>
      </c>
      <c r="S100" s="103">
        <v>87.4652505837326</v>
      </c>
      <c r="T100" s="103">
        <v>57.8525358795399</v>
      </c>
      <c r="U100" s="103">
        <v>90.5400386586827</v>
      </c>
      <c r="V100" s="86"/>
      <c r="W100" s="158">
        <v>86.3549678219275</v>
      </c>
      <c r="X100" s="158">
        <v>75.3343090994206</v>
      </c>
      <c r="Y100" s="158">
        <v>90.9761502899779</v>
      </c>
      <c r="Z100" s="158">
        <v>60.5763846712286</v>
      </c>
      <c r="AA100" s="158">
        <v>88.8301956215777</v>
      </c>
      <c r="AB100" s="159"/>
      <c r="AC100" s="158">
        <v>84.2522375791214</v>
      </c>
      <c r="AD100" s="158">
        <v>77.0599063244057</v>
      </c>
      <c r="AE100" s="158">
        <v>88.2136191361817</v>
      </c>
      <c r="AF100" s="158">
        <v>68.1730846191549</v>
      </c>
      <c r="AG100" s="158">
        <v>94.7105009573669</v>
      </c>
      <c r="AH100" s="9"/>
      <c r="AI100" s="63">
        <v>82.0785190848259</v>
      </c>
      <c r="AJ100" s="63">
        <v>76.20710535853</v>
      </c>
      <c r="AK100" s="63">
        <v>85.6260216540475</v>
      </c>
      <c r="AL100" s="63">
        <v>64.1163537549344</v>
      </c>
      <c r="AM100" s="63">
        <v>85.4468034895356</v>
      </c>
      <c r="AN100" s="9"/>
      <c r="AO100" s="50">
        <v>82.54034</v>
      </c>
      <c r="AP100" s="50">
        <v>74.18585</v>
      </c>
      <c r="AQ100" s="50">
        <v>84.88203</v>
      </c>
      <c r="AR100" s="50">
        <v>62.66972</v>
      </c>
      <c r="AS100" s="50">
        <v>88.13503</v>
      </c>
      <c r="AU100" s="50">
        <v>80.96061</v>
      </c>
      <c r="AV100" s="50">
        <v>78.5463</v>
      </c>
      <c r="AW100" s="50">
        <v>86.57789</v>
      </c>
      <c r="AX100" s="50">
        <v>62.1196</v>
      </c>
      <c r="AY100" s="50">
        <v>88.48009</v>
      </c>
      <c r="BA100" s="50">
        <v>81.50523</v>
      </c>
      <c r="BB100" s="50">
        <v>74.1429</v>
      </c>
      <c r="BC100" s="50">
        <v>87.22749</v>
      </c>
      <c r="BD100" s="50">
        <v>57.31185</v>
      </c>
      <c r="BE100" s="50">
        <v>82.89373</v>
      </c>
      <c r="BG100" s="50">
        <v>84.21423</v>
      </c>
      <c r="BH100" s="50">
        <v>77.30944</v>
      </c>
      <c r="BI100" s="50">
        <v>90.32077</v>
      </c>
      <c r="BJ100" s="50">
        <v>69.05901</v>
      </c>
      <c r="BK100" s="50">
        <v>87.89205</v>
      </c>
      <c r="BM100" s="50">
        <v>80.66702</v>
      </c>
      <c r="BN100" s="50">
        <v>74.4398</v>
      </c>
      <c r="BO100" s="50">
        <v>85.58504</v>
      </c>
      <c r="BP100" s="50">
        <v>65.6797</v>
      </c>
      <c r="BQ100" s="50">
        <v>86.14297</v>
      </c>
    </row>
    <row r="101" spans="1:69" ht="12.75">
      <c r="A101" s="2">
        <f>VLOOKUP(E101,'SHA cluster table data'!B95:C268,2,FALSE)</f>
        <v>92</v>
      </c>
      <c r="B101" s="2">
        <v>98</v>
      </c>
      <c r="C101" s="42" t="str">
        <f>VLOOKUP(E101,'SHA cluster table data'!$B$4:$G$171,6,FALSE)</f>
        <v>Q39</v>
      </c>
      <c r="D101" s="42" t="s">
        <v>251</v>
      </c>
      <c r="E101" s="71" t="s">
        <v>347</v>
      </c>
      <c r="F101" s="71">
        <v>98</v>
      </c>
      <c r="G101" s="104">
        <v>70.3216294116054</v>
      </c>
      <c r="H101" s="154">
        <f t="shared" si="2"/>
        <v>67.95376468386249</v>
      </c>
      <c r="I101" s="155">
        <f t="shared" si="3"/>
        <v>66.77847847652868</v>
      </c>
      <c r="J101" s="63">
        <v>65.52080238003408</v>
      </c>
      <c r="K101" s="63">
        <v>68.46656399999999</v>
      </c>
      <c r="L101" s="63">
        <v>65.91275600000002</v>
      </c>
      <c r="M101" s="63">
        <v>67.00983599999999</v>
      </c>
      <c r="N101" s="63">
        <v>67.81246999999999</v>
      </c>
      <c r="O101" s="63">
        <v>64.82326</v>
      </c>
      <c r="P101" s="86"/>
      <c r="Q101" s="103">
        <v>73.496565122333</v>
      </c>
      <c r="R101" s="103">
        <v>62.2666152226051</v>
      </c>
      <c r="S101" s="103">
        <v>83.9661069367424</v>
      </c>
      <c r="T101" s="103">
        <v>50.5150412754519</v>
      </c>
      <c r="U101" s="103">
        <v>81.3638185008947</v>
      </c>
      <c r="V101" s="86"/>
      <c r="W101" s="158">
        <v>72.7334887315812</v>
      </c>
      <c r="X101" s="158">
        <v>58.4181102876497</v>
      </c>
      <c r="Y101" s="158">
        <v>82.948517025756</v>
      </c>
      <c r="Z101" s="158">
        <v>44.6093343963171</v>
      </c>
      <c r="AA101" s="158">
        <v>81.0593729780084</v>
      </c>
      <c r="AB101" s="159"/>
      <c r="AC101" s="158">
        <v>70.454838657908</v>
      </c>
      <c r="AD101" s="158">
        <v>60.2717298346387</v>
      </c>
      <c r="AE101" s="158">
        <v>81.9111959944726</v>
      </c>
      <c r="AF101" s="158">
        <v>45.7854978471994</v>
      </c>
      <c r="AG101" s="158">
        <v>75.4691300484247</v>
      </c>
      <c r="AH101" s="9"/>
      <c r="AI101" s="63">
        <v>69.4674818148695</v>
      </c>
      <c r="AJ101" s="63">
        <v>53.9111956919764</v>
      </c>
      <c r="AK101" s="63">
        <v>80.8245377852975</v>
      </c>
      <c r="AL101" s="63">
        <v>48.3317725603093</v>
      </c>
      <c r="AM101" s="63">
        <v>75.0690240477177</v>
      </c>
      <c r="AN101" s="9"/>
      <c r="AO101" s="50">
        <v>74.39974</v>
      </c>
      <c r="AP101" s="50">
        <v>63.57811</v>
      </c>
      <c r="AQ101" s="50">
        <v>81.95141</v>
      </c>
      <c r="AR101" s="50">
        <v>46.23076</v>
      </c>
      <c r="AS101" s="50">
        <v>76.1728</v>
      </c>
      <c r="AU101" s="50">
        <v>71.78194</v>
      </c>
      <c r="AV101" s="50">
        <v>61.01841</v>
      </c>
      <c r="AW101" s="50">
        <v>80.96186</v>
      </c>
      <c r="AX101" s="50">
        <v>43.72742</v>
      </c>
      <c r="AY101" s="50">
        <v>72.07415</v>
      </c>
      <c r="BA101" s="50">
        <v>71.05695</v>
      </c>
      <c r="BB101" s="50">
        <v>61.30308</v>
      </c>
      <c r="BC101" s="50">
        <v>82.52983</v>
      </c>
      <c r="BD101" s="50">
        <v>47.0866</v>
      </c>
      <c r="BE101" s="50">
        <v>73.07272</v>
      </c>
      <c r="BG101" s="50">
        <v>71.90235</v>
      </c>
      <c r="BH101" s="50">
        <v>61.31844</v>
      </c>
      <c r="BI101" s="50">
        <v>82.24454</v>
      </c>
      <c r="BJ101" s="50">
        <v>49.69363</v>
      </c>
      <c r="BK101" s="50">
        <v>73.90339</v>
      </c>
      <c r="BM101" s="50">
        <v>68.05707</v>
      </c>
      <c r="BN101" s="50">
        <v>60.66491</v>
      </c>
      <c r="BO101" s="50">
        <v>80.16776</v>
      </c>
      <c r="BP101" s="50">
        <v>44.96618</v>
      </c>
      <c r="BQ101" s="50">
        <v>70.26038</v>
      </c>
    </row>
    <row r="102" spans="1:69" ht="12.75">
      <c r="A102" s="2">
        <f>VLOOKUP(E102,'SHA cluster table data'!B96:C269,2,FALSE)</f>
        <v>93</v>
      </c>
      <c r="B102" s="2">
        <v>99</v>
      </c>
      <c r="C102" s="42" t="str">
        <f>VLOOKUP(E102,'SHA cluster table data'!$B$4:$G$171,6,FALSE)</f>
        <v>Q31</v>
      </c>
      <c r="D102" s="42" t="s">
        <v>54</v>
      </c>
      <c r="E102" s="71" t="s">
        <v>77</v>
      </c>
      <c r="F102" s="71">
        <v>99</v>
      </c>
      <c r="G102" s="104">
        <v>68.8589414401575</v>
      </c>
      <c r="H102" s="154">
        <f t="shared" si="2"/>
        <v>69.57542763279721</v>
      </c>
      <c r="I102" s="155">
        <f t="shared" si="3"/>
        <v>66.03287730870558</v>
      </c>
      <c r="J102" s="63">
        <v>66.20923833096927</v>
      </c>
      <c r="K102" s="63">
        <v>63.18866599999999</v>
      </c>
      <c r="L102" s="63">
        <v>64.241692</v>
      </c>
      <c r="M102" s="63">
        <v>66.46506600000001</v>
      </c>
      <c r="N102" s="63">
        <v>67.57593</v>
      </c>
      <c r="O102" s="63">
        <v>67.938638</v>
      </c>
      <c r="P102" s="86"/>
      <c r="Q102" s="103">
        <v>73.27142935276</v>
      </c>
      <c r="R102" s="103">
        <v>62.1937658678961</v>
      </c>
      <c r="S102" s="103">
        <v>85.4078550634519</v>
      </c>
      <c r="T102" s="103">
        <v>49.0501293622076</v>
      </c>
      <c r="U102" s="103">
        <v>74.3715275544718</v>
      </c>
      <c r="V102" s="86"/>
      <c r="W102" s="158">
        <v>72.3834583911063</v>
      </c>
      <c r="X102" s="158">
        <v>66.7213930287965</v>
      </c>
      <c r="Y102" s="158">
        <v>83.3606931383674</v>
      </c>
      <c r="Z102" s="158">
        <v>49.0772189986051</v>
      </c>
      <c r="AA102" s="158">
        <v>76.3343746071108</v>
      </c>
      <c r="AB102" s="159"/>
      <c r="AC102" s="158">
        <v>70.147948060814</v>
      </c>
      <c r="AD102" s="158">
        <v>63.370784436725</v>
      </c>
      <c r="AE102" s="158">
        <v>79.7806099683495</v>
      </c>
      <c r="AF102" s="158">
        <v>44.7008262736518</v>
      </c>
      <c r="AG102" s="158">
        <v>72.1642178039876</v>
      </c>
      <c r="AH102" s="9"/>
      <c r="AI102" s="63">
        <v>69.7164386396928</v>
      </c>
      <c r="AJ102" s="63">
        <v>62.9340683267579</v>
      </c>
      <c r="AK102" s="63">
        <v>81.4722873543441</v>
      </c>
      <c r="AL102" s="63">
        <v>41.1310966311258</v>
      </c>
      <c r="AM102" s="63">
        <v>75.7923007029258</v>
      </c>
      <c r="AN102" s="9"/>
      <c r="AO102" s="50">
        <v>67.55859</v>
      </c>
      <c r="AP102" s="50">
        <v>54.45411</v>
      </c>
      <c r="AQ102" s="50">
        <v>81.10673</v>
      </c>
      <c r="AR102" s="50">
        <v>39.52127</v>
      </c>
      <c r="AS102" s="50">
        <v>73.30263</v>
      </c>
      <c r="AU102" s="50">
        <v>69.11024</v>
      </c>
      <c r="AV102" s="50">
        <v>58.521</v>
      </c>
      <c r="AW102" s="50">
        <v>79.46413</v>
      </c>
      <c r="AX102" s="50">
        <v>39.98148</v>
      </c>
      <c r="AY102" s="50">
        <v>74.13161</v>
      </c>
      <c r="BA102" s="50">
        <v>71.07689</v>
      </c>
      <c r="BB102" s="50">
        <v>60.27781</v>
      </c>
      <c r="BC102" s="50">
        <v>82.69016</v>
      </c>
      <c r="BD102" s="50">
        <v>46.91966</v>
      </c>
      <c r="BE102" s="50">
        <v>71.36081</v>
      </c>
      <c r="BG102" s="50">
        <v>70.84421</v>
      </c>
      <c r="BH102" s="50">
        <v>60.55843</v>
      </c>
      <c r="BI102" s="50">
        <v>82.56967</v>
      </c>
      <c r="BJ102" s="50">
        <v>50.92884</v>
      </c>
      <c r="BK102" s="50">
        <v>72.9785</v>
      </c>
      <c r="BM102" s="50">
        <v>69.78342</v>
      </c>
      <c r="BN102" s="50">
        <v>59.56648</v>
      </c>
      <c r="BO102" s="50">
        <v>81.33858</v>
      </c>
      <c r="BP102" s="50">
        <v>50.78495</v>
      </c>
      <c r="BQ102" s="50">
        <v>78.21976</v>
      </c>
    </row>
    <row r="103" spans="1:69" ht="12.75">
      <c r="A103" s="2">
        <f>VLOOKUP(E103,'SHA cluster table data'!B97:C270,2,FALSE)</f>
        <v>94</v>
      </c>
      <c r="B103" s="1">
        <v>100</v>
      </c>
      <c r="C103" s="42" t="str">
        <f>VLOOKUP(E103,'SHA cluster table data'!$B$4:$G$171,6,FALSE)</f>
        <v>Q39</v>
      </c>
      <c r="D103" s="42" t="s">
        <v>32</v>
      </c>
      <c r="E103" s="71" t="s">
        <v>352</v>
      </c>
      <c r="F103" s="71">
        <v>100</v>
      </c>
      <c r="G103" s="104">
        <v>68.7509186858423</v>
      </c>
      <c r="H103" s="154">
        <f t="shared" si="2"/>
        <v>68.76444320374215</v>
      </c>
      <c r="I103" s="155">
        <f t="shared" si="3"/>
        <v>67.89236629352476</v>
      </c>
      <c r="J103" s="63">
        <v>68.16572178606553</v>
      </c>
      <c r="K103" s="63">
        <v>69.89443800000001</v>
      </c>
      <c r="L103" s="63">
        <v>68.47096400000001</v>
      </c>
      <c r="M103" s="63">
        <v>65.91082800000001</v>
      </c>
      <c r="N103" s="63">
        <v>69.402226</v>
      </c>
      <c r="O103" s="63">
        <v>66.521554</v>
      </c>
      <c r="P103" s="86"/>
      <c r="Q103" s="103">
        <v>72.3448658252987</v>
      </c>
      <c r="R103" s="103">
        <v>57.3355820653412</v>
      </c>
      <c r="S103" s="103">
        <v>81.1494253753965</v>
      </c>
      <c r="T103" s="103">
        <v>52.4133754899622</v>
      </c>
      <c r="U103" s="103">
        <v>80.5113446732129</v>
      </c>
      <c r="V103" s="86"/>
      <c r="W103" s="158">
        <v>70.6093891387154</v>
      </c>
      <c r="X103" s="158">
        <v>58.3440903523343</v>
      </c>
      <c r="Y103" s="158">
        <v>81.9786501462005</v>
      </c>
      <c r="Z103" s="158">
        <v>51.4191818765319</v>
      </c>
      <c r="AA103" s="158">
        <v>81.4709045049286</v>
      </c>
      <c r="AB103" s="159"/>
      <c r="AC103" s="158">
        <v>74.2095846652839</v>
      </c>
      <c r="AD103" s="158">
        <v>56.0163868816208</v>
      </c>
      <c r="AE103" s="158">
        <v>83.0037565305463</v>
      </c>
      <c r="AF103" s="158">
        <v>47.8343260610961</v>
      </c>
      <c r="AG103" s="158">
        <v>78.3977773290767</v>
      </c>
      <c r="AH103" s="9"/>
      <c r="AI103" s="63">
        <v>72.0986954253917</v>
      </c>
      <c r="AJ103" s="63">
        <v>60.0848552271516</v>
      </c>
      <c r="AK103" s="63">
        <v>80.7549489331967</v>
      </c>
      <c r="AL103" s="63">
        <v>49.3568044560234</v>
      </c>
      <c r="AM103" s="63">
        <v>78.5333048885643</v>
      </c>
      <c r="AN103" s="9"/>
      <c r="AO103" s="50">
        <v>73.658</v>
      </c>
      <c r="AP103" s="50">
        <v>60.00666</v>
      </c>
      <c r="AQ103" s="50">
        <v>83.22551</v>
      </c>
      <c r="AR103" s="50">
        <v>54.20055</v>
      </c>
      <c r="AS103" s="50">
        <v>78.38147</v>
      </c>
      <c r="AU103" s="50">
        <v>74.46944</v>
      </c>
      <c r="AV103" s="50">
        <v>62.36543</v>
      </c>
      <c r="AW103" s="50">
        <v>81.88355</v>
      </c>
      <c r="AX103" s="50">
        <v>47.38506</v>
      </c>
      <c r="AY103" s="50">
        <v>76.25134</v>
      </c>
      <c r="BA103" s="50">
        <v>70.48813</v>
      </c>
      <c r="BB103" s="50">
        <v>59.80458</v>
      </c>
      <c r="BC103" s="50">
        <v>80.11725</v>
      </c>
      <c r="BD103" s="50">
        <v>45.28508</v>
      </c>
      <c r="BE103" s="50">
        <v>73.8591</v>
      </c>
      <c r="BG103" s="50">
        <v>73.06012</v>
      </c>
      <c r="BH103" s="50">
        <v>61.42199</v>
      </c>
      <c r="BI103" s="50">
        <v>84.22362</v>
      </c>
      <c r="BJ103" s="50">
        <v>51.26417</v>
      </c>
      <c r="BK103" s="50">
        <v>77.04123</v>
      </c>
      <c r="BM103" s="50">
        <v>71.36768</v>
      </c>
      <c r="BN103" s="50">
        <v>58.42625</v>
      </c>
      <c r="BO103" s="50">
        <v>80.95539</v>
      </c>
      <c r="BP103" s="50">
        <v>46.51258</v>
      </c>
      <c r="BQ103" s="50">
        <v>75.34587</v>
      </c>
    </row>
    <row r="104" spans="1:69" ht="12.75">
      <c r="A104" s="2">
        <f>VLOOKUP(E104,'SHA cluster table data'!B98:C271,2,FALSE)</f>
        <v>95</v>
      </c>
      <c r="B104" s="2">
        <v>101</v>
      </c>
      <c r="C104" s="42" t="str">
        <f>VLOOKUP(E104,'SHA cluster table data'!$B$4:$G$171,6,FALSE)</f>
        <v>Q36</v>
      </c>
      <c r="D104" s="42" t="s">
        <v>144</v>
      </c>
      <c r="E104" s="71" t="s">
        <v>293</v>
      </c>
      <c r="F104" s="71">
        <v>101</v>
      </c>
      <c r="G104" s="104">
        <v>76.9553751524362</v>
      </c>
      <c r="H104" s="154">
        <f t="shared" si="2"/>
        <v>74.3151688361682</v>
      </c>
      <c r="I104" s="155">
        <f t="shared" si="3"/>
        <v>75.41351013626179</v>
      </c>
      <c r="J104" s="63">
        <v>72.65101099536183</v>
      </c>
      <c r="K104" s="63">
        <v>75.92384799999999</v>
      </c>
      <c r="L104" s="63">
        <v>72.22345399999999</v>
      </c>
      <c r="M104" s="63">
        <v>72.13394</v>
      </c>
      <c r="N104" s="63">
        <v>75.24434199999999</v>
      </c>
      <c r="O104" s="63">
        <v>74.78723399999998</v>
      </c>
      <c r="P104" s="86"/>
      <c r="Q104" s="103">
        <v>80.5409894296445</v>
      </c>
      <c r="R104" s="103">
        <v>71.8665768858396</v>
      </c>
      <c r="S104" s="103">
        <v>86.806994471075</v>
      </c>
      <c r="T104" s="103">
        <v>59.6460403806485</v>
      </c>
      <c r="U104" s="103">
        <v>85.9162745949733</v>
      </c>
      <c r="V104" s="86"/>
      <c r="W104" s="158">
        <v>74.7710553121806</v>
      </c>
      <c r="X104" s="158">
        <v>71.1815557679745</v>
      </c>
      <c r="Y104" s="158">
        <v>85.5287989604386</v>
      </c>
      <c r="Z104" s="158">
        <v>52.2476443328128</v>
      </c>
      <c r="AA104" s="158">
        <v>87.8467898074345</v>
      </c>
      <c r="AB104" s="159"/>
      <c r="AC104" s="158">
        <v>76.8532354113254</v>
      </c>
      <c r="AD104" s="158">
        <v>71.7334920502436</v>
      </c>
      <c r="AE104" s="158">
        <v>87.7355643112064</v>
      </c>
      <c r="AF104" s="158">
        <v>54.9130742426503</v>
      </c>
      <c r="AG104" s="158">
        <v>85.8321846658832</v>
      </c>
      <c r="AH104" s="9"/>
      <c r="AI104" s="63">
        <v>75.7914512711449</v>
      </c>
      <c r="AJ104" s="63">
        <v>67.5927530362623</v>
      </c>
      <c r="AK104" s="63">
        <v>86.049311942544</v>
      </c>
      <c r="AL104" s="63">
        <v>47.739445784302</v>
      </c>
      <c r="AM104" s="63">
        <v>86.082092942556</v>
      </c>
      <c r="AN104" s="9"/>
      <c r="AO104" s="50">
        <v>76.34073</v>
      </c>
      <c r="AP104" s="50">
        <v>73.45792</v>
      </c>
      <c r="AQ104" s="50">
        <v>85.2383</v>
      </c>
      <c r="AR104" s="50">
        <v>58.94639</v>
      </c>
      <c r="AS104" s="50">
        <v>85.6359</v>
      </c>
      <c r="AU104" s="50">
        <v>78.0872</v>
      </c>
      <c r="AV104" s="50">
        <v>67.66826</v>
      </c>
      <c r="AW104" s="50">
        <v>81.96852</v>
      </c>
      <c r="AX104" s="50">
        <v>50.97827</v>
      </c>
      <c r="AY104" s="50">
        <v>82.41502</v>
      </c>
      <c r="BA104" s="50">
        <v>75.78539</v>
      </c>
      <c r="BB104" s="50">
        <v>68.29276</v>
      </c>
      <c r="BC104" s="50">
        <v>83.80384</v>
      </c>
      <c r="BD104" s="50">
        <v>44.84668</v>
      </c>
      <c r="BE104" s="50">
        <v>87.94103</v>
      </c>
      <c r="BG104" s="50">
        <v>76.86306</v>
      </c>
      <c r="BH104" s="50">
        <v>70.16146</v>
      </c>
      <c r="BI104" s="50">
        <v>87.58702</v>
      </c>
      <c r="BJ104" s="50">
        <v>55.54163</v>
      </c>
      <c r="BK104" s="50">
        <v>86.06854</v>
      </c>
      <c r="BM104" s="50">
        <v>80.23305</v>
      </c>
      <c r="BN104" s="50">
        <v>70.9122</v>
      </c>
      <c r="BO104" s="50">
        <v>85.93835</v>
      </c>
      <c r="BP104" s="50">
        <v>48.26435</v>
      </c>
      <c r="BQ104" s="50">
        <v>88.58822</v>
      </c>
    </row>
    <row r="105" spans="1:69" ht="12.75">
      <c r="A105" s="2">
        <f>VLOOKUP(E105,'SHA cluster table data'!B99:C272,2,FALSE)</f>
        <v>96</v>
      </c>
      <c r="B105" s="2">
        <v>102</v>
      </c>
      <c r="C105" s="42" t="str">
        <f>VLOOKUP(E105,'SHA cluster table data'!$B$4:$G$171,6,FALSE)</f>
        <v>Q39</v>
      </c>
      <c r="D105" s="42" t="s">
        <v>145</v>
      </c>
      <c r="E105" s="71" t="s">
        <v>294</v>
      </c>
      <c r="F105" s="71">
        <v>102</v>
      </c>
      <c r="G105" s="104">
        <v>65.6992362162108</v>
      </c>
      <c r="H105" s="154">
        <f t="shared" si="2"/>
        <v>64.91355831196468</v>
      </c>
      <c r="I105" s="155">
        <f t="shared" si="3"/>
        <v>67.31132732417025</v>
      </c>
      <c r="J105" s="63">
        <v>69.56387518800678</v>
      </c>
      <c r="K105" s="63">
        <v>67.837176</v>
      </c>
      <c r="L105" s="63">
        <v>66.45523200000001</v>
      </c>
      <c r="M105" s="63">
        <v>72.605114</v>
      </c>
      <c r="N105" s="63">
        <v>70.18771000000001</v>
      </c>
      <c r="O105" s="63">
        <v>71.53484599999999</v>
      </c>
      <c r="P105" s="86"/>
      <c r="Q105" s="103">
        <v>72.5278357469508</v>
      </c>
      <c r="R105" s="103">
        <v>57.0121755482702</v>
      </c>
      <c r="S105" s="103">
        <v>82.024185728097</v>
      </c>
      <c r="T105" s="103">
        <v>44.0821871284027</v>
      </c>
      <c r="U105" s="103">
        <v>72.8497969293335</v>
      </c>
      <c r="V105" s="86"/>
      <c r="W105" s="158">
        <v>69.6320577199001</v>
      </c>
      <c r="X105" s="158">
        <v>56.741429738105</v>
      </c>
      <c r="Y105" s="158">
        <v>77.574536690008</v>
      </c>
      <c r="Z105" s="158">
        <v>46.8049047900855</v>
      </c>
      <c r="AA105" s="158">
        <v>73.8148626217248</v>
      </c>
      <c r="AB105" s="159"/>
      <c r="AC105" s="158">
        <v>72.8141784654672</v>
      </c>
      <c r="AD105" s="158">
        <v>60.5954572657062</v>
      </c>
      <c r="AE105" s="158">
        <v>80.3287510346052</v>
      </c>
      <c r="AF105" s="158">
        <v>49.1554705768644</v>
      </c>
      <c r="AG105" s="158">
        <v>73.6627792782082</v>
      </c>
      <c r="AH105" s="9"/>
      <c r="AI105" s="63">
        <v>74.3271494036177</v>
      </c>
      <c r="AJ105" s="63">
        <v>63.2882576807427</v>
      </c>
      <c r="AK105" s="63">
        <v>82.8977871625626</v>
      </c>
      <c r="AL105" s="63">
        <v>52.5381951997739</v>
      </c>
      <c r="AM105" s="63">
        <v>74.7679864933369</v>
      </c>
      <c r="AN105" s="9"/>
      <c r="AO105" s="50">
        <v>72.30509</v>
      </c>
      <c r="AP105" s="50">
        <v>62.71166</v>
      </c>
      <c r="AQ105" s="50">
        <v>82.71603</v>
      </c>
      <c r="AR105" s="50">
        <v>51.01186</v>
      </c>
      <c r="AS105" s="50">
        <v>70.44124</v>
      </c>
      <c r="AU105" s="50">
        <v>72.55825</v>
      </c>
      <c r="AV105" s="50">
        <v>63.94503</v>
      </c>
      <c r="AW105" s="50">
        <v>80.40147</v>
      </c>
      <c r="AX105" s="50">
        <v>46.07623</v>
      </c>
      <c r="AY105" s="50">
        <v>69.29518</v>
      </c>
      <c r="BA105" s="50">
        <v>77.37885</v>
      </c>
      <c r="BB105" s="50">
        <v>69.85116</v>
      </c>
      <c r="BC105" s="50">
        <v>83.12708</v>
      </c>
      <c r="BD105" s="50">
        <v>53.10793</v>
      </c>
      <c r="BE105" s="50">
        <v>79.56055</v>
      </c>
      <c r="BG105" s="50">
        <v>74.58282</v>
      </c>
      <c r="BH105" s="50">
        <v>64.76246</v>
      </c>
      <c r="BI105" s="50">
        <v>81.08738</v>
      </c>
      <c r="BJ105" s="50">
        <v>52.47476</v>
      </c>
      <c r="BK105" s="50">
        <v>78.03113</v>
      </c>
      <c r="BM105" s="50">
        <v>75.75481</v>
      </c>
      <c r="BN105" s="50">
        <v>66.2426</v>
      </c>
      <c r="BO105" s="50">
        <v>82.48942</v>
      </c>
      <c r="BP105" s="50">
        <v>54.59119</v>
      </c>
      <c r="BQ105" s="50">
        <v>78.59621</v>
      </c>
    </row>
    <row r="106" spans="1:69" ht="12.75">
      <c r="A106" s="2">
        <f>VLOOKUP(E106,'SHA cluster table data'!B100:C273,2,FALSE)</f>
        <v>97</v>
      </c>
      <c r="B106" s="2">
        <v>103</v>
      </c>
      <c r="C106" s="42" t="str">
        <f>VLOOKUP(E106,'SHA cluster table data'!$B$4:$G$171,6,FALSE)</f>
        <v>Q39</v>
      </c>
      <c r="D106" s="42" t="s">
        <v>27</v>
      </c>
      <c r="E106" s="71" t="s">
        <v>340</v>
      </c>
      <c r="F106" s="71">
        <v>103</v>
      </c>
      <c r="G106" s="104">
        <v>73.5184724425598</v>
      </c>
      <c r="H106" s="154">
        <f t="shared" si="2"/>
        <v>70.81350830556482</v>
      </c>
      <c r="I106" s="155">
        <f t="shared" si="3"/>
        <v>71.26636063324794</v>
      </c>
      <c r="J106" s="63">
        <v>69.76367231278958</v>
      </c>
      <c r="K106" s="63">
        <v>70.014672</v>
      </c>
      <c r="L106" s="63">
        <v>66.57850600000002</v>
      </c>
      <c r="M106" s="63">
        <v>68.81179399999999</v>
      </c>
      <c r="N106" s="63">
        <v>70.576954</v>
      </c>
      <c r="O106" s="63">
        <v>70.779434</v>
      </c>
      <c r="P106" s="86"/>
      <c r="Q106" s="103">
        <v>76.7136009298896</v>
      </c>
      <c r="R106" s="103">
        <v>63.4579750349617</v>
      </c>
      <c r="S106" s="103">
        <v>87.4967215804196</v>
      </c>
      <c r="T106" s="103">
        <v>56.9690301037105</v>
      </c>
      <c r="U106" s="103">
        <v>82.9550345638178</v>
      </c>
      <c r="V106" s="86"/>
      <c r="W106" s="158">
        <v>74.8250663112446</v>
      </c>
      <c r="X106" s="158">
        <v>64.4101761597219</v>
      </c>
      <c r="Y106" s="158">
        <v>82.9826454561434</v>
      </c>
      <c r="Z106" s="158">
        <v>52.5014985304705</v>
      </c>
      <c r="AA106" s="158">
        <v>79.3481550702437</v>
      </c>
      <c r="AB106" s="159"/>
      <c r="AC106" s="158">
        <v>75.3322422184938</v>
      </c>
      <c r="AD106" s="158">
        <v>66.4800717747392</v>
      </c>
      <c r="AE106" s="158">
        <v>83.276587636025</v>
      </c>
      <c r="AF106" s="158">
        <v>48.9686209585177</v>
      </c>
      <c r="AG106" s="158">
        <v>82.274280578464</v>
      </c>
      <c r="AH106" s="9"/>
      <c r="AI106" s="63">
        <v>76.3376677351012</v>
      </c>
      <c r="AJ106" s="63">
        <v>64.7265187916124</v>
      </c>
      <c r="AK106" s="63">
        <v>83.4618637589164</v>
      </c>
      <c r="AL106" s="63">
        <v>47.0719440240724</v>
      </c>
      <c r="AM106" s="63">
        <v>77.2203672542455</v>
      </c>
      <c r="AN106" s="9"/>
      <c r="AO106" s="50">
        <v>75.59068</v>
      </c>
      <c r="AP106" s="50">
        <v>64.3722</v>
      </c>
      <c r="AQ106" s="50">
        <v>85.0744</v>
      </c>
      <c r="AR106" s="50">
        <v>49.93884</v>
      </c>
      <c r="AS106" s="50">
        <v>75.09724</v>
      </c>
      <c r="AU106" s="50">
        <v>71.98212</v>
      </c>
      <c r="AV106" s="50">
        <v>58.35807</v>
      </c>
      <c r="AW106" s="50">
        <v>80.96478</v>
      </c>
      <c r="AX106" s="50">
        <v>49.74531</v>
      </c>
      <c r="AY106" s="50">
        <v>71.84225</v>
      </c>
      <c r="BA106" s="50">
        <v>74.83367</v>
      </c>
      <c r="BB106" s="50">
        <v>68.3415</v>
      </c>
      <c r="BC106" s="50">
        <v>81.48529</v>
      </c>
      <c r="BD106" s="50">
        <v>45.05643</v>
      </c>
      <c r="BE106" s="50">
        <v>74.34208</v>
      </c>
      <c r="BG106" s="50">
        <v>77.46042</v>
      </c>
      <c r="BH106" s="50">
        <v>69.24375</v>
      </c>
      <c r="BI106" s="50">
        <v>85.33184</v>
      </c>
      <c r="BJ106" s="50">
        <v>44.77613</v>
      </c>
      <c r="BK106" s="50">
        <v>76.07263</v>
      </c>
      <c r="BM106" s="50">
        <v>75.02781</v>
      </c>
      <c r="BN106" s="50">
        <v>68.10964</v>
      </c>
      <c r="BO106" s="50">
        <v>80.8895</v>
      </c>
      <c r="BP106" s="50">
        <v>49.51995</v>
      </c>
      <c r="BQ106" s="50">
        <v>80.35027</v>
      </c>
    </row>
    <row r="107" spans="1:69" ht="12.75">
      <c r="A107" s="2">
        <f>VLOOKUP(E107,'SHA cluster table data'!B101:C274,2,FALSE)</f>
        <v>98</v>
      </c>
      <c r="B107" s="1">
        <v>104</v>
      </c>
      <c r="C107" s="42" t="str">
        <f>VLOOKUP(E107,'SHA cluster table data'!$B$4:$G$171,6,FALSE)</f>
        <v>Q36</v>
      </c>
      <c r="D107" s="42" t="s">
        <v>232</v>
      </c>
      <c r="E107" s="71" t="s">
        <v>369</v>
      </c>
      <c r="F107" s="71">
        <v>104</v>
      </c>
      <c r="G107" s="104">
        <v>65.6388393138477</v>
      </c>
      <c r="H107" s="154">
        <f t="shared" si="2"/>
        <v>66.85289596059992</v>
      </c>
      <c r="I107" s="155">
        <f t="shared" si="3"/>
        <v>62.12490017938219</v>
      </c>
      <c r="J107" s="63">
        <v>62.31050468333768</v>
      </c>
      <c r="K107" s="63">
        <v>61.84156</v>
      </c>
      <c r="L107" s="63">
        <v>62.58410799999999</v>
      </c>
      <c r="M107" s="63">
        <v>60.39839199999999</v>
      </c>
      <c r="N107" s="63">
        <v>65.28632200000001</v>
      </c>
      <c r="O107" s="63">
        <v>60.874652000000005</v>
      </c>
      <c r="P107" s="86"/>
      <c r="Q107" s="103">
        <v>69.5729307224341</v>
      </c>
      <c r="R107" s="103">
        <v>54.567868622361</v>
      </c>
      <c r="S107" s="103">
        <v>82.952275845737</v>
      </c>
      <c r="T107" s="103">
        <v>49.766246960375</v>
      </c>
      <c r="U107" s="103">
        <v>71.3348744183314</v>
      </c>
      <c r="V107" s="86"/>
      <c r="W107" s="158">
        <v>69.7308942283251</v>
      </c>
      <c r="X107" s="158">
        <v>55.1429648513741</v>
      </c>
      <c r="Y107" s="158">
        <v>80.9606950577095</v>
      </c>
      <c r="Z107" s="158">
        <v>50.7331206632674</v>
      </c>
      <c r="AA107" s="158">
        <v>77.6968050023235</v>
      </c>
      <c r="AB107" s="159"/>
      <c r="AC107" s="158">
        <v>67.2663193801822</v>
      </c>
      <c r="AD107" s="158">
        <v>52.9336724805306</v>
      </c>
      <c r="AE107" s="158">
        <v>79.2772290223998</v>
      </c>
      <c r="AF107" s="158">
        <v>41.8992562884009</v>
      </c>
      <c r="AG107" s="158">
        <v>69.2480237253975</v>
      </c>
      <c r="AH107" s="9"/>
      <c r="AI107" s="63">
        <v>70.1720589374946</v>
      </c>
      <c r="AJ107" s="63">
        <v>53.5291953544482</v>
      </c>
      <c r="AK107" s="63">
        <v>77.4532618436491</v>
      </c>
      <c r="AL107" s="63">
        <v>44.9545557518378</v>
      </c>
      <c r="AM107" s="63">
        <v>65.4434515292587</v>
      </c>
      <c r="AN107" s="9"/>
      <c r="AO107" s="50">
        <v>66.26662</v>
      </c>
      <c r="AP107" s="50">
        <v>52.78361</v>
      </c>
      <c r="AQ107" s="50">
        <v>78.02737</v>
      </c>
      <c r="AR107" s="50">
        <v>46.95688</v>
      </c>
      <c r="AS107" s="50">
        <v>65.17332</v>
      </c>
      <c r="AU107" s="50">
        <v>66.18372</v>
      </c>
      <c r="AV107" s="50">
        <v>52.09496</v>
      </c>
      <c r="AW107" s="50">
        <v>78.96593</v>
      </c>
      <c r="AX107" s="50">
        <v>41.95099</v>
      </c>
      <c r="AY107" s="50">
        <v>73.72494</v>
      </c>
      <c r="BA107" s="50">
        <v>64.09461</v>
      </c>
      <c r="BB107" s="50">
        <v>49.88694</v>
      </c>
      <c r="BC107" s="50">
        <v>81.03298</v>
      </c>
      <c r="BD107" s="50">
        <v>40.37964</v>
      </c>
      <c r="BE107" s="50">
        <v>66.59779</v>
      </c>
      <c r="BG107" s="50">
        <v>71.99783</v>
      </c>
      <c r="BH107" s="50">
        <v>54.39741</v>
      </c>
      <c r="BI107" s="50">
        <v>81.53914</v>
      </c>
      <c r="BJ107" s="50">
        <v>48.4425</v>
      </c>
      <c r="BK107" s="50">
        <v>70.05473</v>
      </c>
      <c r="BM107" s="50">
        <v>68.03398</v>
      </c>
      <c r="BN107" s="50">
        <v>51.52098</v>
      </c>
      <c r="BO107" s="50">
        <v>76.17491</v>
      </c>
      <c r="BP107" s="50">
        <v>44.84397</v>
      </c>
      <c r="BQ107" s="50">
        <v>63.79942</v>
      </c>
    </row>
    <row r="108" spans="1:69" ht="12.75">
      <c r="A108" s="2">
        <f>VLOOKUP(E108,'SHA cluster table data'!B102:C275,2,FALSE)</f>
        <v>99</v>
      </c>
      <c r="B108" s="2">
        <v>105</v>
      </c>
      <c r="C108" s="42" t="str">
        <f>VLOOKUP(E108,'SHA cluster table data'!$B$4:$G$171,6,FALSE)</f>
        <v>Q31</v>
      </c>
      <c r="D108" s="42" t="s">
        <v>236</v>
      </c>
      <c r="E108" s="71" t="s">
        <v>295</v>
      </c>
      <c r="F108" s="71">
        <v>105</v>
      </c>
      <c r="G108" s="104">
        <v>71.5966764481236</v>
      </c>
      <c r="H108" s="154">
        <f t="shared" si="2"/>
        <v>69.84566896286427</v>
      </c>
      <c r="I108" s="155">
        <f t="shared" si="3"/>
        <v>69.53586329301781</v>
      </c>
      <c r="J108" s="63">
        <v>67.36696180119756</v>
      </c>
      <c r="K108" s="63">
        <v>70.217028</v>
      </c>
      <c r="L108" s="63">
        <v>63.728426</v>
      </c>
      <c r="M108" s="63">
        <v>65.38471799999999</v>
      </c>
      <c r="N108" s="63">
        <v>69.31056800000002</v>
      </c>
      <c r="O108" s="63">
        <v>66.003078</v>
      </c>
      <c r="P108" s="86"/>
      <c r="Q108" s="103">
        <v>79.0801771347152</v>
      </c>
      <c r="R108" s="103">
        <v>63.7694784981275</v>
      </c>
      <c r="S108" s="103">
        <v>85.7273682207692</v>
      </c>
      <c r="T108" s="103">
        <v>50.9322437033068</v>
      </c>
      <c r="U108" s="103">
        <v>78.4741146836991</v>
      </c>
      <c r="V108" s="86"/>
      <c r="W108" s="158">
        <v>70.0681737652643</v>
      </c>
      <c r="X108" s="158">
        <v>60.8852802812635</v>
      </c>
      <c r="Y108" s="158">
        <v>83.6175729661075</v>
      </c>
      <c r="Z108" s="158">
        <v>54.1203898785942</v>
      </c>
      <c r="AA108" s="158">
        <v>80.5369279230918</v>
      </c>
      <c r="AB108" s="159"/>
      <c r="AC108" s="158">
        <v>71.1524735847141</v>
      </c>
      <c r="AD108" s="158">
        <v>66.4534300507941</v>
      </c>
      <c r="AE108" s="158">
        <v>83.9489819270139</v>
      </c>
      <c r="AF108" s="158">
        <v>48.3988276013455</v>
      </c>
      <c r="AG108" s="158">
        <v>77.7256033012215</v>
      </c>
      <c r="AH108" s="9"/>
      <c r="AI108" s="63">
        <v>73.4759074369301</v>
      </c>
      <c r="AJ108" s="63">
        <v>58.4395579530198</v>
      </c>
      <c r="AK108" s="63">
        <v>81.7764704959728</v>
      </c>
      <c r="AL108" s="63">
        <v>48.2788706836519</v>
      </c>
      <c r="AM108" s="63">
        <v>74.8640024364132</v>
      </c>
      <c r="AN108" s="9"/>
      <c r="AO108" s="50">
        <v>74.38731</v>
      </c>
      <c r="AP108" s="50">
        <v>64.70821</v>
      </c>
      <c r="AQ108" s="50">
        <v>83.03524</v>
      </c>
      <c r="AR108" s="50">
        <v>52.94914</v>
      </c>
      <c r="AS108" s="50">
        <v>76.00524</v>
      </c>
      <c r="AU108" s="50">
        <v>68.46896</v>
      </c>
      <c r="AV108" s="50">
        <v>57.82734</v>
      </c>
      <c r="AW108" s="50">
        <v>77.43584</v>
      </c>
      <c r="AX108" s="50">
        <v>45.61086</v>
      </c>
      <c r="AY108" s="50">
        <v>69.29913</v>
      </c>
      <c r="BA108" s="50">
        <v>70.29479</v>
      </c>
      <c r="BB108" s="50">
        <v>57.37822</v>
      </c>
      <c r="BC108" s="50">
        <v>77.13295</v>
      </c>
      <c r="BD108" s="50">
        <v>48.10542</v>
      </c>
      <c r="BE108" s="50">
        <v>74.01221</v>
      </c>
      <c r="BG108" s="50">
        <v>73.52453</v>
      </c>
      <c r="BH108" s="50">
        <v>64.27005</v>
      </c>
      <c r="BI108" s="50">
        <v>79.7365</v>
      </c>
      <c r="BJ108" s="50">
        <v>53.22733</v>
      </c>
      <c r="BK108" s="50">
        <v>75.79443</v>
      </c>
      <c r="BM108" s="50">
        <v>72.4949</v>
      </c>
      <c r="BN108" s="50">
        <v>61.88121</v>
      </c>
      <c r="BO108" s="50">
        <v>79.36705</v>
      </c>
      <c r="BP108" s="50">
        <v>44.44929</v>
      </c>
      <c r="BQ108" s="50">
        <v>71.82294</v>
      </c>
    </row>
    <row r="109" spans="1:69" ht="12.75">
      <c r="A109" s="2">
        <f>VLOOKUP(E109,'SHA cluster table data'!B103:C276,2,FALSE)</f>
        <v>100</v>
      </c>
      <c r="B109" s="2">
        <v>106</v>
      </c>
      <c r="C109" s="42" t="str">
        <f>VLOOKUP(E109,'SHA cluster table data'!$B$4:$G$171,6,FALSE)</f>
        <v>Q39</v>
      </c>
      <c r="D109" s="42" t="s">
        <v>103</v>
      </c>
      <c r="E109" s="71" t="s">
        <v>296</v>
      </c>
      <c r="F109" s="71">
        <v>106</v>
      </c>
      <c r="G109" s="104">
        <v>76.5767631706721</v>
      </c>
      <c r="H109" s="154">
        <f t="shared" si="2"/>
        <v>69.94478297693551</v>
      </c>
      <c r="I109" s="155">
        <f t="shared" si="3"/>
        <v>73.7615927095778</v>
      </c>
      <c r="J109" s="63">
        <v>69.5960477472025</v>
      </c>
      <c r="K109" s="63">
        <v>76.82481</v>
      </c>
      <c r="L109" s="63">
        <v>74.54753000000001</v>
      </c>
      <c r="M109" s="63">
        <v>76.06416399999999</v>
      </c>
      <c r="N109" s="63">
        <v>77.612988</v>
      </c>
      <c r="O109" s="63">
        <v>75.67256400000001</v>
      </c>
      <c r="P109" s="86"/>
      <c r="Q109" s="103">
        <v>83.8953710448417</v>
      </c>
      <c r="R109" s="103">
        <v>73.3274402576994</v>
      </c>
      <c r="S109" s="103">
        <v>88.7335152231188</v>
      </c>
      <c r="T109" s="103">
        <v>52.863075556515</v>
      </c>
      <c r="U109" s="103">
        <v>84.0644137711854</v>
      </c>
      <c r="V109" s="86"/>
      <c r="W109" s="158">
        <v>75.1791392994045</v>
      </c>
      <c r="X109" s="158">
        <v>63.8663521572751</v>
      </c>
      <c r="Y109" s="158">
        <v>77.306587880928</v>
      </c>
      <c r="Z109" s="158">
        <v>58.2880878789052</v>
      </c>
      <c r="AA109" s="158">
        <v>75.0837476681647</v>
      </c>
      <c r="AB109" s="159"/>
      <c r="AC109" s="158">
        <v>82.0090325155055</v>
      </c>
      <c r="AD109" s="158">
        <v>72.7831031998337</v>
      </c>
      <c r="AE109" s="158">
        <v>84.4348710506663</v>
      </c>
      <c r="AF109" s="158">
        <v>49.2023905714918</v>
      </c>
      <c r="AG109" s="158">
        <v>80.3785662103917</v>
      </c>
      <c r="AH109" s="9"/>
      <c r="AI109" s="63">
        <v>77.1705892672181</v>
      </c>
      <c r="AJ109" s="63">
        <v>64.643520013447</v>
      </c>
      <c r="AK109" s="63">
        <v>79.4542940342206</v>
      </c>
      <c r="AL109" s="63">
        <v>51.4403753880813</v>
      </c>
      <c r="AM109" s="63">
        <v>75.2714600330455</v>
      </c>
      <c r="AN109" s="9"/>
      <c r="AO109" s="50">
        <v>78.03497</v>
      </c>
      <c r="AP109" s="50">
        <v>78.34865</v>
      </c>
      <c r="AQ109" s="50">
        <v>79.76836</v>
      </c>
      <c r="AR109" s="50">
        <v>69.8466</v>
      </c>
      <c r="AS109" s="50">
        <v>78.12547</v>
      </c>
      <c r="AU109" s="50">
        <v>77.84267</v>
      </c>
      <c r="AV109" s="50">
        <v>75.43098</v>
      </c>
      <c r="AW109" s="50">
        <v>80.73169</v>
      </c>
      <c r="AX109" s="50">
        <v>60.79676</v>
      </c>
      <c r="AY109" s="50">
        <v>77.93555</v>
      </c>
      <c r="BA109" s="50">
        <v>80.44752</v>
      </c>
      <c r="BB109" s="50">
        <v>75.64229</v>
      </c>
      <c r="BC109" s="50">
        <v>81.10349</v>
      </c>
      <c r="BD109" s="50">
        <v>62.68846</v>
      </c>
      <c r="BE109" s="50">
        <v>80.43906</v>
      </c>
      <c r="BG109" s="50">
        <v>82.21058</v>
      </c>
      <c r="BH109" s="50">
        <v>75.27539</v>
      </c>
      <c r="BI109" s="50">
        <v>86.49369</v>
      </c>
      <c r="BJ109" s="50">
        <v>58.53794</v>
      </c>
      <c r="BK109" s="50">
        <v>85.54734</v>
      </c>
      <c r="BM109" s="50">
        <v>79.5139</v>
      </c>
      <c r="BN109" s="50">
        <v>72.43999</v>
      </c>
      <c r="BO109" s="50">
        <v>82.3464</v>
      </c>
      <c r="BP109" s="50">
        <v>62.5633</v>
      </c>
      <c r="BQ109" s="50">
        <v>81.49923</v>
      </c>
    </row>
    <row r="110" spans="1:69" ht="12.75">
      <c r="A110" s="2">
        <f>VLOOKUP(E110,'SHA cluster table data'!B104:C277,2,FALSE)</f>
        <v>101</v>
      </c>
      <c r="B110" s="2">
        <v>107</v>
      </c>
      <c r="C110" s="42" t="str">
        <f>VLOOKUP(E110,'SHA cluster table data'!$B$4:$G$171,6,FALSE)</f>
        <v>Q36</v>
      </c>
      <c r="D110" s="42" t="s">
        <v>263</v>
      </c>
      <c r="E110" s="71" t="s">
        <v>297</v>
      </c>
      <c r="F110" s="71">
        <v>107</v>
      </c>
      <c r="G110" s="104">
        <v>73.9187404115268</v>
      </c>
      <c r="H110" s="154">
        <f t="shared" si="2"/>
        <v>72.45893815005682</v>
      </c>
      <c r="I110" s="155">
        <f t="shared" si="3"/>
        <v>73.4023551737529</v>
      </c>
      <c r="J110" s="63">
        <v>68.7195971347528</v>
      </c>
      <c r="K110" s="63">
        <v>67.681478</v>
      </c>
      <c r="L110" s="65" t="s">
        <v>426</v>
      </c>
      <c r="M110" s="63">
        <v>69.26241399999999</v>
      </c>
      <c r="N110" s="63">
        <v>69.40845399999999</v>
      </c>
      <c r="O110" s="63">
        <v>70.992342</v>
      </c>
      <c r="P110" s="86"/>
      <c r="Q110" s="103">
        <v>80.2549727424215</v>
      </c>
      <c r="R110" s="103">
        <v>65.9120358560132</v>
      </c>
      <c r="S110" s="103">
        <v>86.9738190587369</v>
      </c>
      <c r="T110" s="103">
        <v>54.4558625661027</v>
      </c>
      <c r="U110" s="103">
        <v>81.9970118343596</v>
      </c>
      <c r="V110" s="86"/>
      <c r="W110" s="158">
        <v>74.1326154174845</v>
      </c>
      <c r="X110" s="158">
        <v>66.9224169821194</v>
      </c>
      <c r="Y110" s="158">
        <v>85.8818579927715</v>
      </c>
      <c r="Z110" s="158">
        <v>52.1601381122351</v>
      </c>
      <c r="AA110" s="158">
        <v>83.1976622456736</v>
      </c>
      <c r="AB110" s="159"/>
      <c r="AC110" s="158">
        <v>76.1977072628554</v>
      </c>
      <c r="AD110" s="158">
        <v>70.6544962474181</v>
      </c>
      <c r="AE110" s="158">
        <v>84.3555719764996</v>
      </c>
      <c r="AF110" s="158">
        <v>54.4121704181342</v>
      </c>
      <c r="AG110" s="158">
        <v>81.3918299638571</v>
      </c>
      <c r="AH110" s="9"/>
      <c r="AI110" s="63">
        <v>75.301988669396</v>
      </c>
      <c r="AJ110" s="63">
        <v>60.9587414644761</v>
      </c>
      <c r="AK110" s="63">
        <v>85.6495735830732</v>
      </c>
      <c r="AL110" s="63">
        <v>46.9170928511404</v>
      </c>
      <c r="AM110" s="63">
        <v>74.7705891056783</v>
      </c>
      <c r="AN110" s="9"/>
      <c r="AO110" s="50">
        <v>74.5838</v>
      </c>
      <c r="AP110" s="50">
        <v>69.68041</v>
      </c>
      <c r="AQ110" s="50">
        <v>85.14043</v>
      </c>
      <c r="AR110" s="50">
        <v>38.83725</v>
      </c>
      <c r="AS110" s="50">
        <v>70.1655</v>
      </c>
      <c r="AU110" s="50" t="s">
        <v>426</v>
      </c>
      <c r="AV110" s="50" t="s">
        <v>426</v>
      </c>
      <c r="AW110" s="50" t="s">
        <v>426</v>
      </c>
      <c r="AX110" s="50" t="s">
        <v>426</v>
      </c>
      <c r="AY110" s="50" t="s">
        <v>426</v>
      </c>
      <c r="BA110" s="50">
        <v>74.45258</v>
      </c>
      <c r="BB110" s="50">
        <v>67.63629</v>
      </c>
      <c r="BC110" s="50">
        <v>84.56946</v>
      </c>
      <c r="BD110" s="50">
        <v>44.58835</v>
      </c>
      <c r="BE110" s="50">
        <v>75.06539</v>
      </c>
      <c r="BG110" s="50">
        <v>73.63346</v>
      </c>
      <c r="BH110" s="50">
        <v>69.29159</v>
      </c>
      <c r="BI110" s="50">
        <v>85.22639</v>
      </c>
      <c r="BJ110" s="50">
        <v>43.14545</v>
      </c>
      <c r="BK110" s="50">
        <v>75.74538</v>
      </c>
      <c r="BM110" s="50">
        <v>78.71481</v>
      </c>
      <c r="BN110" s="50">
        <v>61.31219</v>
      </c>
      <c r="BO110" s="50">
        <v>85.38242</v>
      </c>
      <c r="BP110" s="50">
        <v>56.93504</v>
      </c>
      <c r="BQ110" s="50">
        <v>72.61725</v>
      </c>
    </row>
    <row r="111" spans="1:69" ht="12.75">
      <c r="A111" s="2">
        <f>VLOOKUP(E111,'SHA cluster table data'!B105:C278,2,FALSE)</f>
        <v>102</v>
      </c>
      <c r="B111" s="1">
        <v>108</v>
      </c>
      <c r="C111" s="42" t="str">
        <f>VLOOKUP(E111,'SHA cluster table data'!$B$4:$G$171,6,FALSE)</f>
        <v>Q34</v>
      </c>
      <c r="D111" s="42" t="s">
        <v>261</v>
      </c>
      <c r="E111" s="71" t="s">
        <v>395</v>
      </c>
      <c r="F111" s="71">
        <v>108</v>
      </c>
      <c r="G111" s="104">
        <v>79.5494297339542</v>
      </c>
      <c r="H111" s="154">
        <f t="shared" si="2"/>
        <v>78.11077506149941</v>
      </c>
      <c r="I111" s="155">
        <f t="shared" si="3"/>
        <v>78.00440409257983</v>
      </c>
      <c r="J111" s="63">
        <v>78.28620337611261</v>
      </c>
      <c r="K111" s="63">
        <v>75.808154</v>
      </c>
      <c r="L111" s="63">
        <v>76.42532</v>
      </c>
      <c r="M111" s="63">
        <v>71.62304800000001</v>
      </c>
      <c r="N111" s="63">
        <v>75.914126</v>
      </c>
      <c r="O111" s="63">
        <v>75.46495200000001</v>
      </c>
      <c r="P111" s="86"/>
      <c r="Q111" s="103">
        <v>77.7055867714842</v>
      </c>
      <c r="R111" s="103">
        <v>68.755973746078</v>
      </c>
      <c r="S111" s="103">
        <v>87.1902294666254</v>
      </c>
      <c r="T111" s="103">
        <v>70.6008459364719</v>
      </c>
      <c r="U111" s="103">
        <v>93.4945127491117</v>
      </c>
      <c r="V111" s="86"/>
      <c r="W111" s="158">
        <v>77.61557356435</v>
      </c>
      <c r="X111" s="158">
        <v>71.9164766397861</v>
      </c>
      <c r="Y111" s="158">
        <v>88.9072705299972</v>
      </c>
      <c r="Z111" s="158">
        <v>60.9078184015383</v>
      </c>
      <c r="AA111" s="158">
        <v>91.2067361718254</v>
      </c>
      <c r="AB111" s="159"/>
      <c r="AC111" s="158">
        <v>77.1083576430499</v>
      </c>
      <c r="AD111" s="158">
        <v>70.7441028515168</v>
      </c>
      <c r="AE111" s="158">
        <v>87.8363359447151</v>
      </c>
      <c r="AF111" s="158">
        <v>59.9116264890935</v>
      </c>
      <c r="AG111" s="158">
        <v>94.4215975345239</v>
      </c>
      <c r="AH111" s="9"/>
      <c r="AI111" s="63">
        <v>76.0338193153084</v>
      </c>
      <c r="AJ111" s="63">
        <v>75.5770453770958</v>
      </c>
      <c r="AK111" s="63">
        <v>89.7836335970881</v>
      </c>
      <c r="AL111" s="63">
        <v>60.4804908278841</v>
      </c>
      <c r="AM111" s="63">
        <v>89.5560277631866</v>
      </c>
      <c r="AN111" s="9"/>
      <c r="AO111" s="50">
        <v>79.73327</v>
      </c>
      <c r="AP111" s="50">
        <v>64.17129</v>
      </c>
      <c r="AQ111" s="50">
        <v>88.31229</v>
      </c>
      <c r="AR111" s="50">
        <v>55.95587</v>
      </c>
      <c r="AS111" s="50">
        <v>90.86805</v>
      </c>
      <c r="AU111" s="50">
        <v>75.60172</v>
      </c>
      <c r="AV111" s="50">
        <v>73.20209</v>
      </c>
      <c r="AW111" s="50">
        <v>85.1105</v>
      </c>
      <c r="AX111" s="50">
        <v>55.56133</v>
      </c>
      <c r="AY111" s="50">
        <v>92.65096</v>
      </c>
      <c r="BA111" s="50">
        <v>73.84974</v>
      </c>
      <c r="BB111" s="50">
        <v>60.45901</v>
      </c>
      <c r="BC111" s="50">
        <v>84.89923</v>
      </c>
      <c r="BD111" s="50">
        <v>49.67403</v>
      </c>
      <c r="BE111" s="50">
        <v>89.23323</v>
      </c>
      <c r="BG111" s="50">
        <v>79.99032</v>
      </c>
      <c r="BH111" s="50">
        <v>70.31158</v>
      </c>
      <c r="BI111" s="50">
        <v>86.78586</v>
      </c>
      <c r="BJ111" s="50">
        <v>51.62971</v>
      </c>
      <c r="BK111" s="50">
        <v>90.85316</v>
      </c>
      <c r="BM111" s="50">
        <v>79.07171</v>
      </c>
      <c r="BN111" s="50">
        <v>67.5973</v>
      </c>
      <c r="BO111" s="50">
        <v>83.64355</v>
      </c>
      <c r="BP111" s="50">
        <v>53.64244</v>
      </c>
      <c r="BQ111" s="50">
        <v>93.36976</v>
      </c>
    </row>
    <row r="112" spans="1:69" ht="12.75">
      <c r="A112" s="2">
        <f>VLOOKUP(E112,'SHA cluster table data'!B106:C279,2,FALSE)</f>
        <v>103</v>
      </c>
      <c r="B112" s="2">
        <v>109</v>
      </c>
      <c r="C112" s="42" t="str">
        <f>VLOOKUP(E112,'SHA cluster table data'!$B$4:$G$171,6,FALSE)</f>
        <v>Q39</v>
      </c>
      <c r="D112" s="42" t="s">
        <v>146</v>
      </c>
      <c r="E112" s="71" t="s">
        <v>298</v>
      </c>
      <c r="F112" s="71">
        <v>109</v>
      </c>
      <c r="G112" s="104">
        <v>66.5851658477513</v>
      </c>
      <c r="H112" s="154">
        <f t="shared" si="2"/>
        <v>63.465511233991016</v>
      </c>
      <c r="I112" s="155">
        <f t="shared" si="3"/>
        <v>66.54239310247856</v>
      </c>
      <c r="J112" s="63">
        <v>65.51741860709184</v>
      </c>
      <c r="K112" s="63">
        <v>65.766948</v>
      </c>
      <c r="L112" s="63">
        <v>68.127192</v>
      </c>
      <c r="M112" s="63">
        <v>67.548036</v>
      </c>
      <c r="N112" s="63">
        <v>67.081376</v>
      </c>
      <c r="O112" s="63">
        <v>63.492916</v>
      </c>
      <c r="P112" s="86"/>
      <c r="Q112" s="103">
        <v>72.2556350728289</v>
      </c>
      <c r="R112" s="103">
        <v>54.5538789268552</v>
      </c>
      <c r="S112" s="103">
        <v>83.5372819895015</v>
      </c>
      <c r="T112" s="103">
        <v>46.0092150589335</v>
      </c>
      <c r="U112" s="103">
        <v>76.5698181906373</v>
      </c>
      <c r="V112" s="86"/>
      <c r="W112" s="158">
        <v>68.0318522217243</v>
      </c>
      <c r="X112" s="158">
        <v>51.2846883596662</v>
      </c>
      <c r="Y112" s="158">
        <v>78.3386848428092</v>
      </c>
      <c r="Z112" s="158">
        <v>45.8127585082163</v>
      </c>
      <c r="AA112" s="158">
        <v>73.8595722375391</v>
      </c>
      <c r="AB112" s="159"/>
      <c r="AC112" s="158">
        <v>72.4243774547028</v>
      </c>
      <c r="AD112" s="158">
        <v>52.954112753602</v>
      </c>
      <c r="AE112" s="158">
        <v>83.8734580357367</v>
      </c>
      <c r="AF112" s="158">
        <v>48.8819190938687</v>
      </c>
      <c r="AG112" s="158">
        <v>74.5780981744826</v>
      </c>
      <c r="AH112" s="9"/>
      <c r="AI112" s="63">
        <v>71.3910230034299</v>
      </c>
      <c r="AJ112" s="63">
        <v>58.8296077295635</v>
      </c>
      <c r="AK112" s="63">
        <v>78.4994113372358</v>
      </c>
      <c r="AL112" s="63">
        <v>44.7313533073618</v>
      </c>
      <c r="AM112" s="63">
        <v>74.1356976578682</v>
      </c>
      <c r="AN112" s="9"/>
      <c r="AO112" s="50">
        <v>69.66129</v>
      </c>
      <c r="AP112" s="50">
        <v>57.23543</v>
      </c>
      <c r="AQ112" s="50">
        <v>79.58403</v>
      </c>
      <c r="AR112" s="50">
        <v>47.96468</v>
      </c>
      <c r="AS112" s="50">
        <v>74.38931</v>
      </c>
      <c r="AU112" s="50">
        <v>72.77381</v>
      </c>
      <c r="AV112" s="50">
        <v>61.46114</v>
      </c>
      <c r="AW112" s="50">
        <v>81.62238</v>
      </c>
      <c r="AX112" s="50">
        <v>47.32367</v>
      </c>
      <c r="AY112" s="50">
        <v>77.45496</v>
      </c>
      <c r="BA112" s="50">
        <v>71.87664</v>
      </c>
      <c r="BB112" s="50">
        <v>58.77537</v>
      </c>
      <c r="BC112" s="50">
        <v>78.73419</v>
      </c>
      <c r="BD112" s="50">
        <v>48.46872</v>
      </c>
      <c r="BE112" s="50">
        <v>79.88526</v>
      </c>
      <c r="BG112" s="50">
        <v>70.80318</v>
      </c>
      <c r="BH112" s="50">
        <v>54.85712</v>
      </c>
      <c r="BI112" s="50">
        <v>82.80873</v>
      </c>
      <c r="BJ112" s="50">
        <v>50.12746</v>
      </c>
      <c r="BK112" s="50">
        <v>76.81039</v>
      </c>
      <c r="BM112" s="50">
        <v>67.03091</v>
      </c>
      <c r="BN112" s="50">
        <v>56.50919</v>
      </c>
      <c r="BO112" s="50">
        <v>75.3134</v>
      </c>
      <c r="BP112" s="50">
        <v>42.79551</v>
      </c>
      <c r="BQ112" s="50">
        <v>75.81557</v>
      </c>
    </row>
    <row r="113" spans="1:69" ht="12.75">
      <c r="A113" s="2">
        <f>VLOOKUP(E113,'SHA cluster table data'!B107:C280,2,FALSE)</f>
        <v>104</v>
      </c>
      <c r="B113" s="2">
        <v>110</v>
      </c>
      <c r="C113" s="42" t="str">
        <f>VLOOKUP(E113,'SHA cluster table data'!$B$4:$G$171,6,FALSE)</f>
        <v>Q39</v>
      </c>
      <c r="D113" s="42" t="s">
        <v>147</v>
      </c>
      <c r="E113" s="71" t="s">
        <v>299</v>
      </c>
      <c r="F113" s="71">
        <v>110</v>
      </c>
      <c r="G113" s="104">
        <v>67.547082355627</v>
      </c>
      <c r="H113" s="154">
        <f t="shared" si="2"/>
        <v>65.44105523530858</v>
      </c>
      <c r="I113" s="155">
        <f t="shared" si="3"/>
        <v>69.20736429154155</v>
      </c>
      <c r="J113" s="63">
        <v>68.35817817356057</v>
      </c>
      <c r="K113" s="63">
        <v>69.85219</v>
      </c>
      <c r="L113" s="63">
        <v>65.006968</v>
      </c>
      <c r="M113" s="63">
        <v>61.93674800000001</v>
      </c>
      <c r="N113" s="63">
        <v>65.94079200000002</v>
      </c>
      <c r="O113" s="63">
        <v>66.195926</v>
      </c>
      <c r="P113" s="86"/>
      <c r="Q113" s="103">
        <v>72.8875572329984</v>
      </c>
      <c r="R113" s="103">
        <v>61.8552098413682</v>
      </c>
      <c r="S113" s="103">
        <v>80.9454323424224</v>
      </c>
      <c r="T113" s="103">
        <v>49.1634564976496</v>
      </c>
      <c r="U113" s="103">
        <v>72.8837558636965</v>
      </c>
      <c r="V113" s="86"/>
      <c r="W113" s="158">
        <v>69.9539998860243</v>
      </c>
      <c r="X113" s="158">
        <v>59.8993483865005</v>
      </c>
      <c r="Y113" s="158">
        <v>80.958275903372</v>
      </c>
      <c r="Z113" s="158">
        <v>40.6726785571322</v>
      </c>
      <c r="AA113" s="158">
        <v>75.7209734435139</v>
      </c>
      <c r="AB113" s="159"/>
      <c r="AC113" s="158">
        <v>73.3938238681112</v>
      </c>
      <c r="AD113" s="158">
        <v>67.2488547017587</v>
      </c>
      <c r="AE113" s="158">
        <v>82.8389045354949</v>
      </c>
      <c r="AF113" s="158">
        <v>48.2242745567409</v>
      </c>
      <c r="AG113" s="158">
        <v>74.3309637956021</v>
      </c>
      <c r="AH113" s="9"/>
      <c r="AI113" s="63">
        <v>75.7407474024228</v>
      </c>
      <c r="AJ113" s="63">
        <v>61.9173951007341</v>
      </c>
      <c r="AK113" s="63">
        <v>81.8673901012572</v>
      </c>
      <c r="AL113" s="63">
        <v>46.7958374615849</v>
      </c>
      <c r="AM113" s="63">
        <v>75.4695208018039</v>
      </c>
      <c r="AN113" s="9"/>
      <c r="AO113" s="50">
        <v>76.8251</v>
      </c>
      <c r="AP113" s="50">
        <v>66.67434</v>
      </c>
      <c r="AQ113" s="50">
        <v>81.84073</v>
      </c>
      <c r="AR113" s="50">
        <v>49.88687</v>
      </c>
      <c r="AS113" s="50">
        <v>74.03391</v>
      </c>
      <c r="AU113" s="50">
        <v>71.45468</v>
      </c>
      <c r="AV113" s="50">
        <v>58.58357</v>
      </c>
      <c r="AW113" s="50">
        <v>79.95222</v>
      </c>
      <c r="AX113" s="50">
        <v>45.57853</v>
      </c>
      <c r="AY113" s="50">
        <v>69.46584</v>
      </c>
      <c r="BA113" s="50">
        <v>68.45229</v>
      </c>
      <c r="BB113" s="50">
        <v>57.65394</v>
      </c>
      <c r="BC113" s="50">
        <v>77.72855</v>
      </c>
      <c r="BD113" s="50">
        <v>37.71651</v>
      </c>
      <c r="BE113" s="50">
        <v>68.13245</v>
      </c>
      <c r="BG113" s="50">
        <v>71.94144</v>
      </c>
      <c r="BH113" s="50">
        <v>59.09097</v>
      </c>
      <c r="BI113" s="50">
        <v>81.57309</v>
      </c>
      <c r="BJ113" s="50">
        <v>44.69528</v>
      </c>
      <c r="BK113" s="50">
        <v>72.40318</v>
      </c>
      <c r="BM113" s="50">
        <v>71.20426</v>
      </c>
      <c r="BN113" s="50">
        <v>60.39139</v>
      </c>
      <c r="BO113" s="50">
        <v>77.89028</v>
      </c>
      <c r="BP113" s="50">
        <v>48.11696</v>
      </c>
      <c r="BQ113" s="50">
        <v>73.37674</v>
      </c>
    </row>
    <row r="114" spans="1:69" ht="12.75">
      <c r="A114" s="2">
        <f>VLOOKUP(E114,'SHA cluster table data'!B108:C281,2,FALSE)</f>
      </c>
      <c r="B114" s="2">
        <v>111</v>
      </c>
      <c r="C114" s="42" t="str">
        <f>VLOOKUP(E114,'SHA cluster table data'!$B$4:$G$171,6,FALSE)</f>
        <v>Q39</v>
      </c>
      <c r="D114" s="42" t="s">
        <v>148</v>
      </c>
      <c r="E114" s="71" t="s">
        <v>300</v>
      </c>
      <c r="F114" s="71">
        <v>111</v>
      </c>
      <c r="G114" s="104" t="s">
        <v>426</v>
      </c>
      <c r="H114" s="156" t="s">
        <v>426</v>
      </c>
      <c r="I114" s="157" t="s">
        <v>426</v>
      </c>
      <c r="J114" s="63" t="s">
        <v>426</v>
      </c>
      <c r="K114" s="63">
        <v>64.01079999999999</v>
      </c>
      <c r="L114" s="63">
        <v>66.00308199999999</v>
      </c>
      <c r="M114" s="63">
        <v>71.699756</v>
      </c>
      <c r="N114" s="63">
        <v>68.17961799999999</v>
      </c>
      <c r="O114" s="63">
        <v>67.79396799999999</v>
      </c>
      <c r="P114" s="86"/>
      <c r="Q114" s="103" t="s">
        <v>426</v>
      </c>
      <c r="R114" s="103" t="s">
        <v>426</v>
      </c>
      <c r="S114" s="103" t="s">
        <v>426</v>
      </c>
      <c r="T114" s="103" t="s">
        <v>426</v>
      </c>
      <c r="U114" s="103" t="s">
        <v>426</v>
      </c>
      <c r="V114" s="86"/>
      <c r="W114" s="158" t="s">
        <v>426</v>
      </c>
      <c r="X114" s="158" t="s">
        <v>426</v>
      </c>
      <c r="Y114" s="158" t="s">
        <v>426</v>
      </c>
      <c r="Z114" s="158" t="s">
        <v>426</v>
      </c>
      <c r="AA114" s="158" t="s">
        <v>426</v>
      </c>
      <c r="AB114" s="159"/>
      <c r="AC114" s="158">
        <v>0</v>
      </c>
      <c r="AD114" s="158">
        <v>0</v>
      </c>
      <c r="AE114" s="158">
        <v>0</v>
      </c>
      <c r="AF114" s="158">
        <v>0</v>
      </c>
      <c r="AG114" s="158">
        <v>0</v>
      </c>
      <c r="AH114" s="9"/>
      <c r="AI114" s="63" t="s">
        <v>426</v>
      </c>
      <c r="AJ114" s="63" t="s">
        <v>426</v>
      </c>
      <c r="AK114" s="63" t="s">
        <v>426</v>
      </c>
      <c r="AL114" s="63" t="s">
        <v>426</v>
      </c>
      <c r="AM114" s="63" t="s">
        <v>426</v>
      </c>
      <c r="AN114" s="9"/>
      <c r="AO114" s="50">
        <v>69.89813</v>
      </c>
      <c r="AP114" s="50">
        <v>58.95224</v>
      </c>
      <c r="AQ114" s="50">
        <v>81.84067</v>
      </c>
      <c r="AR114" s="50">
        <v>45.42608</v>
      </c>
      <c r="AS114" s="50">
        <v>63.93688</v>
      </c>
      <c r="AU114" s="50">
        <v>73.07593</v>
      </c>
      <c r="AV114" s="50">
        <v>63.86773</v>
      </c>
      <c r="AW114" s="50">
        <v>80.05113</v>
      </c>
      <c r="AX114" s="50">
        <v>41.88231</v>
      </c>
      <c r="AY114" s="50">
        <v>71.13831</v>
      </c>
      <c r="BA114" s="50">
        <v>74.25533</v>
      </c>
      <c r="BB114" s="50">
        <v>65.97507</v>
      </c>
      <c r="BC114" s="50">
        <v>84.91113</v>
      </c>
      <c r="BD114" s="50">
        <v>54.74404</v>
      </c>
      <c r="BE114" s="50">
        <v>78.61321</v>
      </c>
      <c r="BG114" s="50">
        <v>74.29567</v>
      </c>
      <c r="BH114" s="50">
        <v>64.73602</v>
      </c>
      <c r="BI114" s="50">
        <v>85.01351</v>
      </c>
      <c r="BJ114" s="50">
        <v>43.97498</v>
      </c>
      <c r="BK114" s="50">
        <v>72.87791</v>
      </c>
      <c r="BM114" s="50">
        <v>73.67791</v>
      </c>
      <c r="BN114" s="50">
        <v>61.12793</v>
      </c>
      <c r="BO114" s="50">
        <v>84.57586</v>
      </c>
      <c r="BP114" s="50">
        <v>44.68527</v>
      </c>
      <c r="BQ114" s="50">
        <v>74.90287</v>
      </c>
    </row>
    <row r="115" spans="1:69" ht="12.75">
      <c r="A115" s="2">
        <f>VLOOKUP(E115,'SHA cluster table data'!B108:C282,2,FALSE)</f>
        <v>105</v>
      </c>
      <c r="B115" s="1">
        <v>112</v>
      </c>
      <c r="C115" s="42" t="str">
        <f>VLOOKUP(E115,'SHA cluster table data'!$B$4:$G$171,6,FALSE)</f>
        <v>Q31</v>
      </c>
      <c r="D115" s="42" t="s">
        <v>262</v>
      </c>
      <c r="E115" s="71" t="s">
        <v>400</v>
      </c>
      <c r="F115" s="71">
        <v>112</v>
      </c>
      <c r="G115" s="104">
        <v>70.600696946492</v>
      </c>
      <c r="H115" s="154">
        <f t="shared" si="2"/>
        <v>68.76681859939046</v>
      </c>
      <c r="I115" s="155">
        <f t="shared" si="3"/>
        <v>66.57477060786304</v>
      </c>
      <c r="J115" s="63">
        <v>70.61693841435184</v>
      </c>
      <c r="K115" s="63">
        <v>71.781162</v>
      </c>
      <c r="L115" s="63">
        <v>68.115416</v>
      </c>
      <c r="M115" s="63">
        <v>65.165774</v>
      </c>
      <c r="N115" s="63">
        <v>65.80266200000001</v>
      </c>
      <c r="O115" s="63">
        <v>66.24587199999999</v>
      </c>
      <c r="P115" s="86"/>
      <c r="Q115" s="103">
        <v>74.775715078245</v>
      </c>
      <c r="R115" s="103">
        <v>62.4953952622424</v>
      </c>
      <c r="S115" s="103">
        <v>87.2836234860594</v>
      </c>
      <c r="T115" s="103">
        <v>48.1541247590415</v>
      </c>
      <c r="U115" s="103">
        <v>80.2946261468716</v>
      </c>
      <c r="V115" s="86"/>
      <c r="W115" s="158">
        <v>73.8686177712667</v>
      </c>
      <c r="X115" s="158">
        <v>65.214990033155</v>
      </c>
      <c r="Y115" s="158">
        <v>82.8319223038698</v>
      </c>
      <c r="Z115" s="158">
        <v>44.517312495023</v>
      </c>
      <c r="AA115" s="158">
        <v>77.4012503936378</v>
      </c>
      <c r="AB115" s="159"/>
      <c r="AC115" s="158">
        <v>69.3968160568025</v>
      </c>
      <c r="AD115" s="158">
        <v>61.8701152940771</v>
      </c>
      <c r="AE115" s="158">
        <v>81.9159531602791</v>
      </c>
      <c r="AF115" s="158">
        <v>45.7119855065436</v>
      </c>
      <c r="AG115" s="158">
        <v>73.9789830216129</v>
      </c>
      <c r="AH115" s="9"/>
      <c r="AI115" s="63">
        <v>72.8287631699408</v>
      </c>
      <c r="AJ115" s="63">
        <v>65.6484089093225</v>
      </c>
      <c r="AK115" s="63">
        <v>81.8660293492751</v>
      </c>
      <c r="AL115" s="63">
        <v>50.7245537596849</v>
      </c>
      <c r="AM115" s="63">
        <v>82.0169368835359</v>
      </c>
      <c r="AN115" s="9"/>
      <c r="AO115" s="50">
        <v>74.85105</v>
      </c>
      <c r="AP115" s="50">
        <v>67.47516</v>
      </c>
      <c r="AQ115" s="50">
        <v>83.54272</v>
      </c>
      <c r="AR115" s="50">
        <v>51.65136</v>
      </c>
      <c r="AS115" s="50">
        <v>81.38552</v>
      </c>
      <c r="AU115" s="50">
        <v>70.923</v>
      </c>
      <c r="AV115" s="50">
        <v>63.95344</v>
      </c>
      <c r="AW115" s="50">
        <v>79.70309</v>
      </c>
      <c r="AX115" s="50">
        <v>50.21974</v>
      </c>
      <c r="AY115" s="50">
        <v>75.77781</v>
      </c>
      <c r="BA115" s="50">
        <v>68.84057</v>
      </c>
      <c r="BB115" s="50">
        <v>60.16988</v>
      </c>
      <c r="BC115" s="50">
        <v>81.39605</v>
      </c>
      <c r="BD115" s="50">
        <v>42.02843</v>
      </c>
      <c r="BE115" s="50">
        <v>73.39394</v>
      </c>
      <c r="BG115" s="50">
        <v>72.19926</v>
      </c>
      <c r="BH115" s="50">
        <v>60.74381</v>
      </c>
      <c r="BI115" s="50">
        <v>79.27801</v>
      </c>
      <c r="BJ115" s="50">
        <v>45.01493</v>
      </c>
      <c r="BK115" s="50">
        <v>71.7773</v>
      </c>
      <c r="BM115" s="50">
        <v>67.96685</v>
      </c>
      <c r="BN115" s="50">
        <v>61.92209</v>
      </c>
      <c r="BO115" s="50">
        <v>78.29411</v>
      </c>
      <c r="BP115" s="50">
        <v>47.36723</v>
      </c>
      <c r="BQ115" s="50">
        <v>75.67908</v>
      </c>
    </row>
    <row r="116" spans="1:69" ht="12.75">
      <c r="A116" s="2">
        <f>VLOOKUP(E116,'SHA cluster table data'!B109:C283,2,FALSE)</f>
        <v>106</v>
      </c>
      <c r="B116" s="2">
        <v>113</v>
      </c>
      <c r="C116" s="42" t="str">
        <f>VLOOKUP(E116,'SHA cluster table data'!$B$4:$G$171,6,FALSE)</f>
        <v>Q39</v>
      </c>
      <c r="D116" s="42" t="s">
        <v>104</v>
      </c>
      <c r="E116" s="71" t="s">
        <v>301</v>
      </c>
      <c r="F116" s="71">
        <v>113</v>
      </c>
      <c r="G116" s="104">
        <v>71.3971216349346</v>
      </c>
      <c r="H116" s="154">
        <f t="shared" si="2"/>
        <v>69.18411034882557</v>
      </c>
      <c r="I116" s="155">
        <f t="shared" si="3"/>
        <v>68.83741719997775</v>
      </c>
      <c r="J116" s="63">
        <v>65.40466921592052</v>
      </c>
      <c r="K116" s="63">
        <v>68.743054</v>
      </c>
      <c r="L116" s="63">
        <v>65.80330599999999</v>
      </c>
      <c r="M116" s="63">
        <v>66.961184</v>
      </c>
      <c r="N116" s="63">
        <v>69.626814</v>
      </c>
      <c r="O116" s="63">
        <v>68.546366</v>
      </c>
      <c r="P116" s="86"/>
      <c r="Q116" s="103">
        <v>75.60179160233</v>
      </c>
      <c r="R116" s="103">
        <v>61.4274762619343</v>
      </c>
      <c r="S116" s="103">
        <v>85.0518625724944</v>
      </c>
      <c r="T116" s="103">
        <v>52.0393084280272</v>
      </c>
      <c r="U116" s="103">
        <v>82.8651693098872</v>
      </c>
      <c r="V116" s="86"/>
      <c r="W116" s="158">
        <v>69.8324377508143</v>
      </c>
      <c r="X116" s="158">
        <v>60.3980242478248</v>
      </c>
      <c r="Y116" s="158">
        <v>85.5480206128698</v>
      </c>
      <c r="Z116" s="158">
        <v>51.4335426967603</v>
      </c>
      <c r="AA116" s="158">
        <v>78.7085264358587</v>
      </c>
      <c r="AB116" s="159"/>
      <c r="AC116" s="158">
        <v>72.0102550406322</v>
      </c>
      <c r="AD116" s="158">
        <v>58.6474533280977</v>
      </c>
      <c r="AE116" s="158">
        <v>81.6900130744347</v>
      </c>
      <c r="AF116" s="158">
        <v>53.3856648633601</v>
      </c>
      <c r="AG116" s="158">
        <v>78.453699693364</v>
      </c>
      <c r="AH116" s="9"/>
      <c r="AI116" s="63">
        <v>69.1436951171122</v>
      </c>
      <c r="AJ116" s="63">
        <v>55.6007137863146</v>
      </c>
      <c r="AK116" s="63">
        <v>81.5519586990075</v>
      </c>
      <c r="AL116" s="63">
        <v>45.8666068187758</v>
      </c>
      <c r="AM116" s="63">
        <v>74.8603716583925</v>
      </c>
      <c r="AN116" s="9"/>
      <c r="AO116" s="50">
        <v>74.3456</v>
      </c>
      <c r="AP116" s="50">
        <v>57.46992</v>
      </c>
      <c r="AQ116" s="50">
        <v>84.50594</v>
      </c>
      <c r="AR116" s="50">
        <v>50.31182</v>
      </c>
      <c r="AS116" s="50">
        <v>77.08199</v>
      </c>
      <c r="AU116" s="50">
        <v>71.67647</v>
      </c>
      <c r="AV116" s="50">
        <v>58.52591</v>
      </c>
      <c r="AW116" s="50">
        <v>82.03101</v>
      </c>
      <c r="AX116" s="50">
        <v>44.97458</v>
      </c>
      <c r="AY116" s="50">
        <v>71.80856</v>
      </c>
      <c r="BA116" s="50">
        <v>71.0778</v>
      </c>
      <c r="BB116" s="50">
        <v>58.72041</v>
      </c>
      <c r="BC116" s="50">
        <v>81.76452</v>
      </c>
      <c r="BD116" s="50">
        <v>49.44405</v>
      </c>
      <c r="BE116" s="50">
        <v>73.79914</v>
      </c>
      <c r="BG116" s="50">
        <v>75.11683</v>
      </c>
      <c r="BH116" s="50">
        <v>61.93853</v>
      </c>
      <c r="BI116" s="50">
        <v>82.98161</v>
      </c>
      <c r="BJ116" s="50">
        <v>50.21336</v>
      </c>
      <c r="BK116" s="50">
        <v>77.88374</v>
      </c>
      <c r="BM116" s="50">
        <v>73.08894</v>
      </c>
      <c r="BN116" s="50">
        <v>64.15085</v>
      </c>
      <c r="BO116" s="50">
        <v>81.29507</v>
      </c>
      <c r="BP116" s="50">
        <v>45.92329</v>
      </c>
      <c r="BQ116" s="50">
        <v>78.27368</v>
      </c>
    </row>
    <row r="117" spans="1:69" ht="12.75">
      <c r="A117" s="2">
        <f>VLOOKUP(E117,'SHA cluster table data'!B110:C284,2,FALSE)</f>
        <v>107</v>
      </c>
      <c r="B117" s="2">
        <v>114</v>
      </c>
      <c r="C117" s="42" t="str">
        <f>VLOOKUP(E117,'SHA cluster table data'!$B$4:$G$171,6,FALSE)</f>
        <v>Q34</v>
      </c>
      <c r="D117" s="42" t="s">
        <v>430</v>
      </c>
      <c r="E117" s="71" t="s">
        <v>334</v>
      </c>
      <c r="F117" s="71">
        <v>114</v>
      </c>
      <c r="G117" s="104">
        <v>66.9099705224044</v>
      </c>
      <c r="H117" s="154">
        <f t="shared" si="2"/>
        <v>70.77828048534431</v>
      </c>
      <c r="I117" s="155">
        <f t="shared" si="3"/>
        <v>67.34149131331606</v>
      </c>
      <c r="J117" s="63">
        <v>64.37777906807412</v>
      </c>
      <c r="K117" s="63">
        <v>68.961244</v>
      </c>
      <c r="L117" s="63">
        <v>66.826476</v>
      </c>
      <c r="M117" s="63">
        <v>69.205094</v>
      </c>
      <c r="N117" s="63">
        <v>68.32071599999999</v>
      </c>
      <c r="O117" s="63">
        <v>67.079298</v>
      </c>
      <c r="P117" s="86"/>
      <c r="Q117" s="103">
        <v>72.0642200578652</v>
      </c>
      <c r="R117" s="103">
        <v>53.5974150952781</v>
      </c>
      <c r="S117" s="103">
        <v>83.390922591906</v>
      </c>
      <c r="T117" s="103">
        <v>51.3782887634996</v>
      </c>
      <c r="U117" s="103">
        <v>74.119006103473</v>
      </c>
      <c r="V117" s="86"/>
      <c r="W117" s="158">
        <v>71.3830695515243</v>
      </c>
      <c r="X117" s="158">
        <v>63.740119723589</v>
      </c>
      <c r="Y117" s="158">
        <v>81.4180491386528</v>
      </c>
      <c r="Z117" s="158">
        <v>54.43177320798</v>
      </c>
      <c r="AA117" s="158">
        <v>82.9183908049755</v>
      </c>
      <c r="AB117" s="159"/>
      <c r="AC117" s="158">
        <v>69.8977100836909</v>
      </c>
      <c r="AD117" s="158">
        <v>60.0348767968857</v>
      </c>
      <c r="AE117" s="158">
        <v>81.4161609102578</v>
      </c>
      <c r="AF117" s="158">
        <v>44.5401694100794</v>
      </c>
      <c r="AG117" s="158">
        <v>80.8185393656665</v>
      </c>
      <c r="AH117" s="9"/>
      <c r="AI117" s="63">
        <v>67.2628242772971</v>
      </c>
      <c r="AJ117" s="63">
        <v>57.5290311185093</v>
      </c>
      <c r="AK117" s="63">
        <v>78.22470629121</v>
      </c>
      <c r="AL117" s="63">
        <v>42.4936284744097</v>
      </c>
      <c r="AM117" s="63">
        <v>76.3787051789445</v>
      </c>
      <c r="AN117" s="9"/>
      <c r="AO117" s="50">
        <v>71.03842</v>
      </c>
      <c r="AP117" s="50">
        <v>59.14856</v>
      </c>
      <c r="AQ117" s="50">
        <v>83.05756</v>
      </c>
      <c r="AR117" s="50">
        <v>52.61722</v>
      </c>
      <c r="AS117" s="50">
        <v>78.94446</v>
      </c>
      <c r="AU117" s="50">
        <v>69.88084</v>
      </c>
      <c r="AV117" s="50">
        <v>57.89342</v>
      </c>
      <c r="AW117" s="50">
        <v>78.7336</v>
      </c>
      <c r="AX117" s="50">
        <v>50.1805</v>
      </c>
      <c r="AY117" s="50">
        <v>77.44402</v>
      </c>
      <c r="BA117" s="50">
        <v>71.38546</v>
      </c>
      <c r="BB117" s="50">
        <v>63.22681</v>
      </c>
      <c r="BC117" s="50">
        <v>83.80023</v>
      </c>
      <c r="BD117" s="50">
        <v>46.478</v>
      </c>
      <c r="BE117" s="50">
        <v>81.13497</v>
      </c>
      <c r="BG117" s="50">
        <v>71.35502</v>
      </c>
      <c r="BH117" s="50">
        <v>56.59237</v>
      </c>
      <c r="BI117" s="50">
        <v>81.33546</v>
      </c>
      <c r="BJ117" s="50">
        <v>50.21202</v>
      </c>
      <c r="BK117" s="50">
        <v>82.10871</v>
      </c>
      <c r="BM117" s="50">
        <v>70.59825</v>
      </c>
      <c r="BN117" s="50">
        <v>58.09835</v>
      </c>
      <c r="BO117" s="50">
        <v>81.89342</v>
      </c>
      <c r="BP117" s="50">
        <v>48.68048</v>
      </c>
      <c r="BQ117" s="50">
        <v>76.12599</v>
      </c>
    </row>
    <row r="118" spans="1:71" ht="12.75">
      <c r="A118" s="2">
        <f>VLOOKUP(E118,'SHA cluster table data'!B111:C285,2,FALSE)</f>
      </c>
      <c r="B118" s="2">
        <v>115</v>
      </c>
      <c r="C118" s="42" t="str">
        <f>VLOOKUP(E118,'SHA cluster table data'!$B$4:$G$171,6,FALSE)</f>
        <v>Q31</v>
      </c>
      <c r="D118" s="213" t="s">
        <v>229</v>
      </c>
      <c r="E118" s="71" t="s">
        <v>302</v>
      </c>
      <c r="F118" s="71">
        <v>115</v>
      </c>
      <c r="G118" s="104" t="s">
        <v>426</v>
      </c>
      <c r="H118" s="154">
        <f t="shared" si="2"/>
        <v>63.470192369312464</v>
      </c>
      <c r="I118" s="155">
        <f t="shared" si="3"/>
        <v>63.228377410901786</v>
      </c>
      <c r="J118" s="63">
        <v>65.61754959571614</v>
      </c>
      <c r="K118" s="63">
        <v>62.465852</v>
      </c>
      <c r="L118" s="63">
        <v>61.421327999999995</v>
      </c>
      <c r="M118" s="63">
        <v>65.341994</v>
      </c>
      <c r="N118" s="63">
        <v>63.58856599999999</v>
      </c>
      <c r="O118" s="63">
        <v>66.062108</v>
      </c>
      <c r="P118" s="86"/>
      <c r="Q118" s="103" t="s">
        <v>426</v>
      </c>
      <c r="R118" s="103" t="s">
        <v>426</v>
      </c>
      <c r="S118" s="103" t="s">
        <v>426</v>
      </c>
      <c r="T118" s="103" t="s">
        <v>426</v>
      </c>
      <c r="U118" s="103" t="s">
        <v>426</v>
      </c>
      <c r="V118" s="86"/>
      <c r="W118" s="158">
        <v>68.6524929398791</v>
      </c>
      <c r="X118" s="158">
        <v>53.2785183833704</v>
      </c>
      <c r="Y118" s="158">
        <v>80.184601464752</v>
      </c>
      <c r="Z118" s="158">
        <v>44.4722999714469</v>
      </c>
      <c r="AA118" s="158">
        <v>70.7630490871139</v>
      </c>
      <c r="AB118" s="159"/>
      <c r="AC118" s="158">
        <v>70.7634614983908</v>
      </c>
      <c r="AD118" s="158">
        <v>56.7042627959709</v>
      </c>
      <c r="AE118" s="158">
        <v>77.3331698847906</v>
      </c>
      <c r="AF118" s="158">
        <v>41.203084883292</v>
      </c>
      <c r="AG118" s="158">
        <v>70.1379079920646</v>
      </c>
      <c r="AH118" s="9"/>
      <c r="AI118" s="63">
        <v>73.8679071571415</v>
      </c>
      <c r="AJ118" s="63">
        <v>57.060534368856</v>
      </c>
      <c r="AK118" s="63">
        <v>80.2910109550222</v>
      </c>
      <c r="AL118" s="63">
        <v>43.2892038983921</v>
      </c>
      <c r="AM118" s="63">
        <v>73.5790915991689</v>
      </c>
      <c r="AN118" s="9"/>
      <c r="AO118" s="50">
        <v>68.69121</v>
      </c>
      <c r="AP118" s="50">
        <v>55.65282</v>
      </c>
      <c r="AQ118" s="50">
        <v>78.18404</v>
      </c>
      <c r="AR118" s="50">
        <v>40.94938</v>
      </c>
      <c r="AS118" s="50">
        <v>68.85181</v>
      </c>
      <c r="AU118" s="50">
        <v>68.92541</v>
      </c>
      <c r="AV118" s="50">
        <v>55.9104</v>
      </c>
      <c r="AW118" s="50">
        <v>77.98216</v>
      </c>
      <c r="AX118" s="50">
        <v>39.96225</v>
      </c>
      <c r="AY118" s="50">
        <v>64.32642</v>
      </c>
      <c r="BA118" s="50">
        <v>71.49229</v>
      </c>
      <c r="BB118" s="50">
        <v>59.12922</v>
      </c>
      <c r="BC118" s="50">
        <v>79.18298</v>
      </c>
      <c r="BD118" s="50">
        <v>47.05734</v>
      </c>
      <c r="BE118" s="50">
        <v>69.84814</v>
      </c>
      <c r="BG118" s="50">
        <v>72.53001</v>
      </c>
      <c r="BH118" s="50">
        <v>56.10701</v>
      </c>
      <c r="BI118" s="50">
        <v>77.15022</v>
      </c>
      <c r="BJ118" s="50">
        <v>42.44535</v>
      </c>
      <c r="BK118" s="50">
        <v>69.71024</v>
      </c>
      <c r="BM118" s="50">
        <v>74.04852</v>
      </c>
      <c r="BN118" s="50">
        <v>59.83888</v>
      </c>
      <c r="BO118" s="50">
        <v>82.264</v>
      </c>
      <c r="BP118" s="50">
        <v>42.86944</v>
      </c>
      <c r="BQ118" s="50">
        <v>71.2897</v>
      </c>
      <c r="BS118" s="185" t="s">
        <v>488</v>
      </c>
    </row>
    <row r="119" spans="1:69" ht="12.75">
      <c r="A119" s="2">
        <f>VLOOKUP(E119,'SHA cluster table data'!B111:C286,2,FALSE)</f>
        <v>108</v>
      </c>
      <c r="B119" s="1">
        <v>116</v>
      </c>
      <c r="C119" s="42" t="str">
        <f>VLOOKUP(E119,'SHA cluster table data'!$B$4:$G$171,6,FALSE)</f>
        <v>Q31</v>
      </c>
      <c r="D119" s="42" t="s">
        <v>237</v>
      </c>
      <c r="E119" s="71" t="s">
        <v>303</v>
      </c>
      <c r="F119" s="71">
        <v>116</v>
      </c>
      <c r="G119" s="104">
        <v>68.5793857110996</v>
      </c>
      <c r="H119" s="154">
        <f t="shared" si="2"/>
        <v>71.97017651108277</v>
      </c>
      <c r="I119" s="155">
        <f t="shared" si="3"/>
        <v>71.88669389115027</v>
      </c>
      <c r="J119" s="63">
        <v>69.03120808315018</v>
      </c>
      <c r="K119" s="63">
        <v>73.34673000000001</v>
      </c>
      <c r="L119" s="63">
        <v>70.910698</v>
      </c>
      <c r="M119" s="63">
        <v>72.40668600000001</v>
      </c>
      <c r="N119" s="63">
        <v>73.13943200000001</v>
      </c>
      <c r="O119" s="63">
        <v>72.968216</v>
      </c>
      <c r="P119" s="86"/>
      <c r="Q119" s="103">
        <v>71.9317368262235</v>
      </c>
      <c r="R119" s="103">
        <v>62.8025176334621</v>
      </c>
      <c r="S119" s="103">
        <v>80.9475018341797</v>
      </c>
      <c r="T119" s="103">
        <v>49.1177704059502</v>
      </c>
      <c r="U119" s="103">
        <v>78.0974018556825</v>
      </c>
      <c r="V119" s="86"/>
      <c r="W119" s="158">
        <v>74.3266826163892</v>
      </c>
      <c r="X119" s="158">
        <v>63.1217277866929</v>
      </c>
      <c r="Y119" s="158">
        <v>85.2346408489056</v>
      </c>
      <c r="Z119" s="158">
        <v>56.3031348331351</v>
      </c>
      <c r="AA119" s="158">
        <v>80.864696470291</v>
      </c>
      <c r="AB119" s="159"/>
      <c r="AC119" s="158">
        <v>75.9592349792481</v>
      </c>
      <c r="AD119" s="158">
        <v>66.6767898829204</v>
      </c>
      <c r="AE119" s="158">
        <v>84.2023546504023</v>
      </c>
      <c r="AF119" s="158">
        <v>49.2260561408161</v>
      </c>
      <c r="AG119" s="158">
        <v>83.3690338023645</v>
      </c>
      <c r="AH119" s="9"/>
      <c r="AI119" s="63">
        <v>72.9586821126558</v>
      </c>
      <c r="AJ119" s="63">
        <v>63.4709432305649</v>
      </c>
      <c r="AK119" s="63">
        <v>82.8606602612702</v>
      </c>
      <c r="AL119" s="63">
        <v>46.2566508309291</v>
      </c>
      <c r="AM119" s="63">
        <v>79.6091039803309</v>
      </c>
      <c r="AN119" s="9"/>
      <c r="AO119" s="50">
        <v>73.738</v>
      </c>
      <c r="AP119" s="50">
        <v>67.95856</v>
      </c>
      <c r="AQ119" s="50">
        <v>84.28878</v>
      </c>
      <c r="AR119" s="50">
        <v>55.33136</v>
      </c>
      <c r="AS119" s="50">
        <v>85.41695</v>
      </c>
      <c r="AU119" s="50">
        <v>74.85288</v>
      </c>
      <c r="AV119" s="50">
        <v>63.30148</v>
      </c>
      <c r="AW119" s="50">
        <v>83.65623</v>
      </c>
      <c r="AX119" s="50">
        <v>52.66722</v>
      </c>
      <c r="AY119" s="50">
        <v>80.07568</v>
      </c>
      <c r="BA119" s="50">
        <v>74.32531</v>
      </c>
      <c r="BB119" s="50">
        <v>65.66739</v>
      </c>
      <c r="BC119" s="50">
        <v>81.60447</v>
      </c>
      <c r="BD119" s="50">
        <v>56.48366</v>
      </c>
      <c r="BE119" s="50">
        <v>83.9526</v>
      </c>
      <c r="BG119" s="50">
        <v>74.0351</v>
      </c>
      <c r="BH119" s="50">
        <v>66.29034</v>
      </c>
      <c r="BI119" s="50">
        <v>82.35401</v>
      </c>
      <c r="BJ119" s="50">
        <v>57.69177</v>
      </c>
      <c r="BK119" s="50">
        <v>85.32594</v>
      </c>
      <c r="BM119" s="50">
        <v>72.33141</v>
      </c>
      <c r="BN119" s="50">
        <v>66.77312</v>
      </c>
      <c r="BO119" s="50">
        <v>83.02783</v>
      </c>
      <c r="BP119" s="50">
        <v>55.09</v>
      </c>
      <c r="BQ119" s="50">
        <v>87.61872</v>
      </c>
    </row>
    <row r="120" spans="1:69" ht="12.75">
      <c r="A120" s="2">
        <f>VLOOKUP(E120,'SHA cluster table data'!B112:C287,2,FALSE)</f>
        <v>109</v>
      </c>
      <c r="B120" s="2">
        <v>117</v>
      </c>
      <c r="C120" s="42" t="str">
        <f>VLOOKUP(E120,'SHA cluster table data'!$B$4:$G$171,6,FALSE)</f>
        <v>Q34</v>
      </c>
      <c r="D120" s="42" t="s">
        <v>105</v>
      </c>
      <c r="E120" s="71" t="s">
        <v>304</v>
      </c>
      <c r="F120" s="71">
        <v>117</v>
      </c>
      <c r="G120" s="104">
        <v>70.6617031979085</v>
      </c>
      <c r="H120" s="154">
        <f t="shared" si="2"/>
        <v>71.471355073399</v>
      </c>
      <c r="I120" s="155">
        <f t="shared" si="3"/>
        <v>69.00312265084872</v>
      </c>
      <c r="J120" s="63">
        <v>68.40646963444372</v>
      </c>
      <c r="K120" s="63">
        <v>67.652136</v>
      </c>
      <c r="L120" s="63">
        <v>62.207029999999996</v>
      </c>
      <c r="M120" s="63">
        <v>65.81609</v>
      </c>
      <c r="N120" s="63">
        <v>65.113518</v>
      </c>
      <c r="O120" s="63">
        <v>67.62609400000001</v>
      </c>
      <c r="P120" s="86"/>
      <c r="Q120" s="103">
        <v>74.4253087415347</v>
      </c>
      <c r="R120" s="103">
        <v>59.5889911113696</v>
      </c>
      <c r="S120" s="103">
        <v>85.8196098834774</v>
      </c>
      <c r="T120" s="103">
        <v>53.9138798102434</v>
      </c>
      <c r="U120" s="103">
        <v>79.5607264429172</v>
      </c>
      <c r="V120" s="86"/>
      <c r="W120" s="158">
        <v>74.1019828743243</v>
      </c>
      <c r="X120" s="158">
        <v>63.4295088861262</v>
      </c>
      <c r="Y120" s="158">
        <v>87.5608345570299</v>
      </c>
      <c r="Z120" s="158">
        <v>50.8672067706824</v>
      </c>
      <c r="AA120" s="158">
        <v>81.3972422788322</v>
      </c>
      <c r="AB120" s="159"/>
      <c r="AC120" s="158">
        <v>72.6984440778971</v>
      </c>
      <c r="AD120" s="158">
        <v>62.0248143596088</v>
      </c>
      <c r="AE120" s="158">
        <v>84.0592201531084</v>
      </c>
      <c r="AF120" s="158">
        <v>49.9577644468715</v>
      </c>
      <c r="AG120" s="158">
        <v>76.2753702167578</v>
      </c>
      <c r="AH120" s="9"/>
      <c r="AI120" s="63">
        <v>71.8362381550172</v>
      </c>
      <c r="AJ120" s="63">
        <v>60.847000071036</v>
      </c>
      <c r="AK120" s="63">
        <v>86.2729953185418</v>
      </c>
      <c r="AL120" s="63">
        <v>46.3338947464896</v>
      </c>
      <c r="AM120" s="63">
        <v>76.742219881134</v>
      </c>
      <c r="AN120" s="9"/>
      <c r="AO120" s="50">
        <v>69.62771</v>
      </c>
      <c r="AP120" s="50">
        <v>64.93626</v>
      </c>
      <c r="AQ120" s="50">
        <v>82.92886</v>
      </c>
      <c r="AR120" s="50">
        <v>43.12095</v>
      </c>
      <c r="AS120" s="50">
        <v>77.6469</v>
      </c>
      <c r="AU120" s="50">
        <v>66.34324</v>
      </c>
      <c r="AV120" s="50">
        <v>57.528</v>
      </c>
      <c r="AW120" s="50">
        <v>77.4091</v>
      </c>
      <c r="AX120" s="50">
        <v>42.81805</v>
      </c>
      <c r="AY120" s="50">
        <v>66.93676</v>
      </c>
      <c r="BA120" s="50">
        <v>67.28594</v>
      </c>
      <c r="BB120" s="50">
        <v>61.27789</v>
      </c>
      <c r="BC120" s="50">
        <v>77.51905</v>
      </c>
      <c r="BD120" s="50">
        <v>47.98892</v>
      </c>
      <c r="BE120" s="50">
        <v>75.00865</v>
      </c>
      <c r="BG120" s="50">
        <v>70.05025</v>
      </c>
      <c r="BH120" s="50">
        <v>58.38826</v>
      </c>
      <c r="BI120" s="50">
        <v>78.97195</v>
      </c>
      <c r="BJ120" s="50">
        <v>43.03849</v>
      </c>
      <c r="BK120" s="50">
        <v>75.11864</v>
      </c>
      <c r="BM120" s="50">
        <v>70.32752</v>
      </c>
      <c r="BN120" s="50">
        <v>61.98541</v>
      </c>
      <c r="BO120" s="50">
        <v>80.0928</v>
      </c>
      <c r="BP120" s="50">
        <v>47.0486</v>
      </c>
      <c r="BQ120" s="50">
        <v>78.67614</v>
      </c>
    </row>
    <row r="121" spans="1:69" ht="12.75">
      <c r="A121" s="2">
        <f>VLOOKUP(E121,'SHA cluster table data'!B113:C288,2,FALSE)</f>
        <v>110</v>
      </c>
      <c r="B121" s="2">
        <v>118</v>
      </c>
      <c r="C121" s="42" t="str">
        <f>VLOOKUP(E121,'SHA cluster table data'!$B$4:$G$171,6,FALSE)</f>
        <v>Q34</v>
      </c>
      <c r="D121" s="42" t="s">
        <v>244</v>
      </c>
      <c r="E121" s="71" t="s">
        <v>336</v>
      </c>
      <c r="F121" s="71">
        <v>118</v>
      </c>
      <c r="G121" s="104">
        <v>62.0711963615564</v>
      </c>
      <c r="H121" s="154">
        <f t="shared" si="2"/>
        <v>64.37424720204328</v>
      </c>
      <c r="I121" s="155">
        <f t="shared" si="3"/>
        <v>67.25525378146037</v>
      </c>
      <c r="J121" s="63">
        <v>66.93229593438002</v>
      </c>
      <c r="K121" s="63">
        <v>67.35961</v>
      </c>
      <c r="L121" s="63">
        <v>64.105452</v>
      </c>
      <c r="M121" s="63">
        <v>67.593294</v>
      </c>
      <c r="N121" s="63">
        <v>65.992602</v>
      </c>
      <c r="O121" s="63">
        <v>65.150006</v>
      </c>
      <c r="P121" s="86"/>
      <c r="Q121" s="103">
        <v>66.6815712107477</v>
      </c>
      <c r="R121" s="103">
        <v>54.3817756137327</v>
      </c>
      <c r="S121" s="103">
        <v>82.06234998098</v>
      </c>
      <c r="T121" s="103">
        <v>39.6283516542869</v>
      </c>
      <c r="U121" s="103">
        <v>67.6019333480347</v>
      </c>
      <c r="V121" s="86"/>
      <c r="W121" s="158">
        <v>68.5256950389721</v>
      </c>
      <c r="X121" s="158">
        <v>60.1834687101951</v>
      </c>
      <c r="Y121" s="158">
        <v>81.2975522291828</v>
      </c>
      <c r="Z121" s="158">
        <v>42.8401274349304</v>
      </c>
      <c r="AA121" s="158">
        <v>69.024392596936</v>
      </c>
      <c r="AB121" s="159"/>
      <c r="AC121" s="158">
        <v>69.0328703217319</v>
      </c>
      <c r="AD121" s="158">
        <v>59.9696230009283</v>
      </c>
      <c r="AE121" s="158">
        <v>77.748215192851</v>
      </c>
      <c r="AF121" s="158">
        <v>53.1539363990369</v>
      </c>
      <c r="AG121" s="158">
        <v>76.3716239927537</v>
      </c>
      <c r="AH121" s="9"/>
      <c r="AI121" s="63">
        <v>71.6721581959372</v>
      </c>
      <c r="AJ121" s="63">
        <v>61.226024044841</v>
      </c>
      <c r="AK121" s="63">
        <v>77.0892380624567</v>
      </c>
      <c r="AL121" s="63">
        <v>48.2186673138127</v>
      </c>
      <c r="AM121" s="63">
        <v>76.4553920548525</v>
      </c>
      <c r="AN121" s="9"/>
      <c r="AO121" s="50">
        <v>70.48689</v>
      </c>
      <c r="AP121" s="50">
        <v>63.40978</v>
      </c>
      <c r="AQ121" s="50">
        <v>79.36079</v>
      </c>
      <c r="AR121" s="50">
        <v>50.44209</v>
      </c>
      <c r="AS121" s="50">
        <v>73.0985</v>
      </c>
      <c r="AU121" s="50">
        <v>69.18197</v>
      </c>
      <c r="AV121" s="50">
        <v>61.13992</v>
      </c>
      <c r="AW121" s="50">
        <v>75.49268</v>
      </c>
      <c r="AX121" s="50">
        <v>44.66358</v>
      </c>
      <c r="AY121" s="50">
        <v>70.04911</v>
      </c>
      <c r="BA121" s="50">
        <v>69.69394</v>
      </c>
      <c r="BB121" s="50">
        <v>60.66307</v>
      </c>
      <c r="BC121" s="50">
        <v>77.48846</v>
      </c>
      <c r="BD121" s="50">
        <v>51.25847</v>
      </c>
      <c r="BE121" s="50">
        <v>78.86253</v>
      </c>
      <c r="BG121" s="50">
        <v>69.6052</v>
      </c>
      <c r="BH121" s="50">
        <v>58.67672</v>
      </c>
      <c r="BI121" s="50">
        <v>78.107</v>
      </c>
      <c r="BJ121" s="50">
        <v>46.25286</v>
      </c>
      <c r="BK121" s="50">
        <v>77.32123</v>
      </c>
      <c r="BM121" s="50">
        <v>69.62845</v>
      </c>
      <c r="BN121" s="50">
        <v>63.00969</v>
      </c>
      <c r="BO121" s="50">
        <v>80.03497</v>
      </c>
      <c r="BP121" s="50">
        <v>43.99812</v>
      </c>
      <c r="BQ121" s="50">
        <v>69.0788</v>
      </c>
    </row>
    <row r="122" spans="1:69" ht="12.75">
      <c r="A122" s="2">
        <f>VLOOKUP(E122,'SHA cluster table data'!B114:C289,2,FALSE)</f>
        <v>111</v>
      </c>
      <c r="B122" s="2">
        <v>119</v>
      </c>
      <c r="C122" s="42" t="str">
        <f>VLOOKUP(E122,'SHA cluster table data'!$B$4:$G$171,6,FALSE)</f>
        <v>Q39</v>
      </c>
      <c r="D122" s="42" t="s">
        <v>254</v>
      </c>
      <c r="E122" s="71" t="s">
        <v>363</v>
      </c>
      <c r="F122" s="71">
        <v>119</v>
      </c>
      <c r="G122" s="104">
        <v>70.7246498777425</v>
      </c>
      <c r="H122" s="154">
        <f t="shared" si="2"/>
        <v>70.1783215824315</v>
      </c>
      <c r="I122" s="155">
        <f t="shared" si="3"/>
        <v>73.18760638407866</v>
      </c>
      <c r="J122" s="63">
        <v>69.0130205396798</v>
      </c>
      <c r="K122" s="63">
        <v>67.21499399999999</v>
      </c>
      <c r="L122" s="63">
        <v>68.03949399999999</v>
      </c>
      <c r="M122" s="63">
        <v>71.002648</v>
      </c>
      <c r="N122" s="63">
        <v>71.49358600000001</v>
      </c>
      <c r="O122" s="63">
        <v>68.64428000000001</v>
      </c>
      <c r="P122" s="86"/>
      <c r="Q122" s="103">
        <v>75.8114867962932</v>
      </c>
      <c r="R122" s="103">
        <v>62.6920890928508</v>
      </c>
      <c r="S122" s="103">
        <v>86.7965490841277</v>
      </c>
      <c r="T122" s="103">
        <v>47.8691605016241</v>
      </c>
      <c r="U122" s="103">
        <v>80.4539639138168</v>
      </c>
      <c r="V122" s="86"/>
      <c r="W122" s="158">
        <v>73.5669527310552</v>
      </c>
      <c r="X122" s="158">
        <v>62.5789756493586</v>
      </c>
      <c r="Y122" s="158">
        <v>85.9607260893068</v>
      </c>
      <c r="Z122" s="158">
        <v>49.4546342312659</v>
      </c>
      <c r="AA122" s="158">
        <v>79.330319211171</v>
      </c>
      <c r="AB122" s="159"/>
      <c r="AC122" s="158">
        <v>77.6875495830628</v>
      </c>
      <c r="AD122" s="158">
        <v>68.6696832201348</v>
      </c>
      <c r="AE122" s="158">
        <v>86.1308929574235</v>
      </c>
      <c r="AF122" s="158">
        <v>52.9398050775208</v>
      </c>
      <c r="AG122" s="158">
        <v>80.5101010822514</v>
      </c>
      <c r="AH122" s="9"/>
      <c r="AI122" s="63">
        <v>74.2634437812674</v>
      </c>
      <c r="AJ122" s="63">
        <v>61.3650301903783</v>
      </c>
      <c r="AK122" s="63">
        <v>83.9653532811305</v>
      </c>
      <c r="AL122" s="63">
        <v>47.1199148191669</v>
      </c>
      <c r="AM122" s="63">
        <v>78.3513606264559</v>
      </c>
      <c r="AN122" s="9"/>
      <c r="AO122" s="50">
        <v>75.94818</v>
      </c>
      <c r="AP122" s="50">
        <v>60.03559</v>
      </c>
      <c r="AQ122" s="50">
        <v>83.88162</v>
      </c>
      <c r="AR122" s="50">
        <v>42.32327</v>
      </c>
      <c r="AS122" s="50">
        <v>73.88631</v>
      </c>
      <c r="AU122" s="50">
        <v>77.00146</v>
      </c>
      <c r="AV122" s="50">
        <v>65.49316</v>
      </c>
      <c r="AW122" s="50">
        <v>84.54566</v>
      </c>
      <c r="AX122" s="50">
        <v>38.60812</v>
      </c>
      <c r="AY122" s="50">
        <v>74.54907</v>
      </c>
      <c r="BA122" s="50">
        <v>74.86784</v>
      </c>
      <c r="BB122" s="50">
        <v>63.19359</v>
      </c>
      <c r="BC122" s="50">
        <v>82.10155</v>
      </c>
      <c r="BD122" s="50">
        <v>52.49199</v>
      </c>
      <c r="BE122" s="50">
        <v>82.35827</v>
      </c>
      <c r="BG122" s="50">
        <v>77.1902</v>
      </c>
      <c r="BH122" s="50">
        <v>65.35303</v>
      </c>
      <c r="BI122" s="50">
        <v>82.89886</v>
      </c>
      <c r="BJ122" s="50">
        <v>51.52013</v>
      </c>
      <c r="BK122" s="50">
        <v>80.50571</v>
      </c>
      <c r="BM122" s="50">
        <v>75.89868</v>
      </c>
      <c r="BN122" s="50">
        <v>66.12791</v>
      </c>
      <c r="BO122" s="50">
        <v>79.73311</v>
      </c>
      <c r="BP122" s="50">
        <v>46.76079</v>
      </c>
      <c r="BQ122" s="50">
        <v>74.70091</v>
      </c>
    </row>
    <row r="123" spans="1:69" ht="12.75">
      <c r="A123" s="2">
        <f>VLOOKUP(E123,'SHA cluster table data'!B115:C290,2,FALSE)</f>
        <v>112</v>
      </c>
      <c r="B123" s="1">
        <v>120</v>
      </c>
      <c r="C123" s="42" t="str">
        <f>VLOOKUP(E123,'SHA cluster table data'!$B$4:$G$171,6,FALSE)</f>
        <v>Q36</v>
      </c>
      <c r="D123" s="42" t="s">
        <v>116</v>
      </c>
      <c r="E123" s="71" t="s">
        <v>117</v>
      </c>
      <c r="F123" s="71">
        <v>120</v>
      </c>
      <c r="G123" s="104">
        <v>61.4826264492245</v>
      </c>
      <c r="H123" s="154">
        <f t="shared" si="2"/>
        <v>61.70117493375028</v>
      </c>
      <c r="I123" s="155">
        <f t="shared" si="3"/>
        <v>61.67957374509645</v>
      </c>
      <c r="J123" s="106">
        <v>61.80720274638088</v>
      </c>
      <c r="K123" s="63" t="s">
        <v>426</v>
      </c>
      <c r="L123" s="63" t="s">
        <v>426</v>
      </c>
      <c r="M123" s="63" t="s">
        <v>426</v>
      </c>
      <c r="N123" s="63" t="s">
        <v>426</v>
      </c>
      <c r="O123" s="63" t="s">
        <v>426</v>
      </c>
      <c r="P123" s="86"/>
      <c r="Q123" s="103">
        <v>67.8237464997947</v>
      </c>
      <c r="R123" s="103">
        <v>47.0022721664387</v>
      </c>
      <c r="S123" s="103">
        <v>82.5899841365788</v>
      </c>
      <c r="T123" s="103">
        <v>37.9847181674502</v>
      </c>
      <c r="U123" s="103">
        <v>72.0124112758599</v>
      </c>
      <c r="V123" s="86"/>
      <c r="W123" s="158">
        <v>65.86750079373181</v>
      </c>
      <c r="X123" s="158">
        <v>49.4043335073276</v>
      </c>
      <c r="Y123" s="158">
        <v>81.0948313496287</v>
      </c>
      <c r="Z123" s="158">
        <v>44.2602512870712</v>
      </c>
      <c r="AA123" s="158">
        <v>67.8789577309921</v>
      </c>
      <c r="AB123" s="159"/>
      <c r="AC123" s="158">
        <v>65.819083736911</v>
      </c>
      <c r="AD123" s="158">
        <v>57.4012877731489</v>
      </c>
      <c r="AE123" s="158">
        <v>78.537483506858</v>
      </c>
      <c r="AF123" s="158">
        <v>39.4225422697396</v>
      </c>
      <c r="AG123" s="158">
        <v>67.2174714388247</v>
      </c>
      <c r="AH123" s="9"/>
      <c r="AI123" s="64">
        <v>66.9566616503493</v>
      </c>
      <c r="AJ123" s="64">
        <v>54.3291730760706</v>
      </c>
      <c r="AK123" s="64">
        <v>79.6094922847019</v>
      </c>
      <c r="AL123" s="64">
        <v>39.4730779697033</v>
      </c>
      <c r="AM123" s="64">
        <v>68.6676087510793</v>
      </c>
      <c r="AN123" s="9"/>
      <c r="AO123" s="50" t="s">
        <v>426</v>
      </c>
      <c r="AP123" s="50" t="s">
        <v>426</v>
      </c>
      <c r="AQ123" s="50" t="s">
        <v>426</v>
      </c>
      <c r="AR123" s="50" t="s">
        <v>426</v>
      </c>
      <c r="AS123" s="50" t="s">
        <v>426</v>
      </c>
      <c r="AT123" s="50"/>
      <c r="AU123" s="50" t="s">
        <v>426</v>
      </c>
      <c r="AV123" s="50" t="s">
        <v>426</v>
      </c>
      <c r="AW123" s="50" t="s">
        <v>426</v>
      </c>
      <c r="AX123" s="50" t="s">
        <v>426</v>
      </c>
      <c r="AY123" s="107" t="s">
        <v>426</v>
      </c>
      <c r="AZ123" s="109"/>
      <c r="BA123" s="91" t="s">
        <v>426</v>
      </c>
      <c r="BB123" s="50" t="s">
        <v>426</v>
      </c>
      <c r="BC123" s="50" t="s">
        <v>426</v>
      </c>
      <c r="BD123" s="50" t="s">
        <v>426</v>
      </c>
      <c r="BE123" s="50" t="s">
        <v>426</v>
      </c>
      <c r="BF123" s="50"/>
      <c r="BG123" s="50" t="s">
        <v>426</v>
      </c>
      <c r="BH123" s="50" t="s">
        <v>426</v>
      </c>
      <c r="BI123" s="50" t="s">
        <v>426</v>
      </c>
      <c r="BJ123" s="50" t="s">
        <v>426</v>
      </c>
      <c r="BK123" s="107" t="s">
        <v>426</v>
      </c>
      <c r="BL123" s="108"/>
      <c r="BM123" s="91" t="s">
        <v>426</v>
      </c>
      <c r="BN123" s="50" t="s">
        <v>426</v>
      </c>
      <c r="BO123" s="50" t="s">
        <v>426</v>
      </c>
      <c r="BP123" s="50" t="s">
        <v>426</v>
      </c>
      <c r="BQ123" s="50" t="s">
        <v>426</v>
      </c>
    </row>
    <row r="124" spans="1:69" ht="12.75">
      <c r="A124" s="2">
        <f>VLOOKUP(E124,'SHA cluster table data'!B116:C291,2,FALSE)</f>
        <v>113</v>
      </c>
      <c r="B124" s="2">
        <v>121</v>
      </c>
      <c r="C124" s="42" t="str">
        <f>VLOOKUP(E124,'SHA cluster table data'!$B$4:$G$171,6,FALSE)</f>
        <v>Q31</v>
      </c>
      <c r="D124" s="42" t="s">
        <v>149</v>
      </c>
      <c r="E124" s="71" t="s">
        <v>306</v>
      </c>
      <c r="F124" s="71">
        <v>121</v>
      </c>
      <c r="G124" s="104">
        <v>71.2886687000631</v>
      </c>
      <c r="H124" s="154">
        <f t="shared" si="2"/>
        <v>70.18380309688965</v>
      </c>
      <c r="I124" s="155">
        <f t="shared" si="3"/>
        <v>69.36067635154413</v>
      </c>
      <c r="J124" s="63">
        <v>71.31470852003872</v>
      </c>
      <c r="K124" s="63">
        <v>72.17716800000001</v>
      </c>
      <c r="L124" s="63">
        <v>73.49839</v>
      </c>
      <c r="M124" s="63">
        <v>69.971896</v>
      </c>
      <c r="N124" s="63">
        <v>72.045114</v>
      </c>
      <c r="O124" s="63">
        <v>74.526952</v>
      </c>
      <c r="P124" s="86"/>
      <c r="Q124" s="103">
        <v>77.093187208269</v>
      </c>
      <c r="R124" s="103">
        <v>64.1280895393915</v>
      </c>
      <c r="S124" s="103">
        <v>85.7186229029748</v>
      </c>
      <c r="T124" s="103">
        <v>52.6256593544404</v>
      </c>
      <c r="U124" s="103">
        <v>76.87778449524</v>
      </c>
      <c r="V124" s="86"/>
      <c r="W124" s="158">
        <v>72.7528412317218</v>
      </c>
      <c r="X124" s="158">
        <v>65.178435537616</v>
      </c>
      <c r="Y124" s="158">
        <v>84.127267349516</v>
      </c>
      <c r="Z124" s="158">
        <v>50.6626438593264</v>
      </c>
      <c r="AA124" s="158">
        <v>78.197827506268</v>
      </c>
      <c r="AB124" s="159"/>
      <c r="AC124" s="158">
        <v>73.7453038036271</v>
      </c>
      <c r="AD124" s="158">
        <v>65.5498352026088</v>
      </c>
      <c r="AE124" s="158">
        <v>80.667307785845</v>
      </c>
      <c r="AF124" s="158">
        <v>50.2996744607288</v>
      </c>
      <c r="AG124" s="158">
        <v>76.5412605049109</v>
      </c>
      <c r="AH124" s="9"/>
      <c r="AI124" s="63">
        <v>75.3268974648922</v>
      </c>
      <c r="AJ124" s="63">
        <v>68.1478275541664</v>
      </c>
      <c r="AK124" s="63">
        <v>82.7739897370091</v>
      </c>
      <c r="AL124" s="63">
        <v>50.7690160617144</v>
      </c>
      <c r="AM124" s="63">
        <v>79.5558117824115</v>
      </c>
      <c r="AN124" s="9"/>
      <c r="AO124" s="50">
        <v>74.54113</v>
      </c>
      <c r="AP124" s="50">
        <v>66.79571</v>
      </c>
      <c r="AQ124" s="50">
        <v>83.68214</v>
      </c>
      <c r="AR124" s="50">
        <v>53.52181</v>
      </c>
      <c r="AS124" s="50">
        <v>82.34505</v>
      </c>
      <c r="AU124" s="50">
        <v>77.51294</v>
      </c>
      <c r="AV124" s="50">
        <v>69.89282</v>
      </c>
      <c r="AW124" s="50">
        <v>83.86214</v>
      </c>
      <c r="AX124" s="50">
        <v>55.22578</v>
      </c>
      <c r="AY124" s="50">
        <v>80.99827</v>
      </c>
      <c r="BA124" s="50">
        <v>74.87663</v>
      </c>
      <c r="BB124" s="50">
        <v>66.85895</v>
      </c>
      <c r="BC124" s="50">
        <v>83.5598</v>
      </c>
      <c r="BD124" s="50">
        <v>44.69748</v>
      </c>
      <c r="BE124" s="50">
        <v>79.86662</v>
      </c>
      <c r="BG124" s="50">
        <v>75.84645</v>
      </c>
      <c r="BH124" s="50">
        <v>65.44671</v>
      </c>
      <c r="BI124" s="50">
        <v>84.27068</v>
      </c>
      <c r="BJ124" s="50">
        <v>51.4679</v>
      </c>
      <c r="BK124" s="50">
        <v>83.19383</v>
      </c>
      <c r="BM124" s="50">
        <v>74.67237</v>
      </c>
      <c r="BN124" s="50">
        <v>70.67197</v>
      </c>
      <c r="BO124" s="50">
        <v>82.49291</v>
      </c>
      <c r="BP124" s="50">
        <v>58.86615</v>
      </c>
      <c r="BQ124" s="50">
        <v>85.93136</v>
      </c>
    </row>
    <row r="125" spans="1:69" ht="12.75">
      <c r="A125" s="2">
        <f>VLOOKUP(E125,'SHA cluster table data'!B117:C292,2,FALSE)</f>
        <v>114</v>
      </c>
      <c r="B125" s="2">
        <v>122</v>
      </c>
      <c r="C125" s="42" t="str">
        <f>VLOOKUP(E125,'SHA cluster table data'!$B$4:$G$171,6,FALSE)</f>
        <v>Q31</v>
      </c>
      <c r="D125" s="42" t="s">
        <v>238</v>
      </c>
      <c r="E125" s="71" t="s">
        <v>307</v>
      </c>
      <c r="F125" s="71">
        <v>122</v>
      </c>
      <c r="G125" s="104">
        <v>66.3684021709617</v>
      </c>
      <c r="H125" s="154">
        <f t="shared" si="2"/>
        <v>67.85974157606651</v>
      </c>
      <c r="I125" s="155">
        <f t="shared" si="3"/>
        <v>67.37344270721692</v>
      </c>
      <c r="J125" s="63">
        <v>63.68830021870658</v>
      </c>
      <c r="K125" s="63">
        <v>65.704982</v>
      </c>
      <c r="L125" s="63">
        <v>70.62003000000001</v>
      </c>
      <c r="M125" s="63">
        <v>67.66622399999999</v>
      </c>
      <c r="N125" s="63">
        <v>67.965184</v>
      </c>
      <c r="O125" s="63">
        <v>69.939722</v>
      </c>
      <c r="P125" s="86"/>
      <c r="Q125" s="103">
        <v>70.8930573614016</v>
      </c>
      <c r="R125" s="103">
        <v>54.673399290009</v>
      </c>
      <c r="S125" s="103">
        <v>81.0376361296414</v>
      </c>
      <c r="T125" s="103">
        <v>45.3934382381719</v>
      </c>
      <c r="U125" s="103">
        <v>79.8444798355847</v>
      </c>
      <c r="V125" s="86"/>
      <c r="W125" s="158">
        <v>70.1810813737769</v>
      </c>
      <c r="X125" s="158">
        <v>60.4813601691533</v>
      </c>
      <c r="Y125" s="158">
        <v>76.3282055925779</v>
      </c>
      <c r="Z125" s="158">
        <v>54.7012823659761</v>
      </c>
      <c r="AA125" s="158">
        <v>77.6067783788484</v>
      </c>
      <c r="AB125" s="159"/>
      <c r="AC125" s="158">
        <v>73.044217681994</v>
      </c>
      <c r="AD125" s="158">
        <v>62.9717038719508</v>
      </c>
      <c r="AE125" s="158">
        <v>79.7362742642602</v>
      </c>
      <c r="AF125" s="158">
        <v>46.593368124255</v>
      </c>
      <c r="AG125" s="158">
        <v>74.5216495936246</v>
      </c>
      <c r="AH125" s="9"/>
      <c r="AI125" s="63">
        <v>67.7966899784972</v>
      </c>
      <c r="AJ125" s="63">
        <v>60.0007422478006</v>
      </c>
      <c r="AK125" s="63">
        <v>78.1824320035745</v>
      </c>
      <c r="AL125" s="63">
        <v>44.940251485853</v>
      </c>
      <c r="AM125" s="63">
        <v>67.5213853778076</v>
      </c>
      <c r="AN125" s="9"/>
      <c r="AO125" s="50">
        <v>71.70453</v>
      </c>
      <c r="AP125" s="50">
        <v>59.70532</v>
      </c>
      <c r="AQ125" s="50">
        <v>80.28431</v>
      </c>
      <c r="AR125" s="50">
        <v>44.62386</v>
      </c>
      <c r="AS125" s="50">
        <v>72.20689</v>
      </c>
      <c r="AU125" s="50">
        <v>71.39564</v>
      </c>
      <c r="AV125" s="50">
        <v>63.82683</v>
      </c>
      <c r="AW125" s="50">
        <v>82.21143</v>
      </c>
      <c r="AX125" s="50">
        <v>57.8631</v>
      </c>
      <c r="AY125" s="50">
        <v>77.80315</v>
      </c>
      <c r="BA125" s="50">
        <v>68.90546</v>
      </c>
      <c r="BB125" s="50">
        <v>63.04035</v>
      </c>
      <c r="BC125" s="50">
        <v>77.26115</v>
      </c>
      <c r="BD125" s="50">
        <v>51.14603</v>
      </c>
      <c r="BE125" s="50">
        <v>77.97813</v>
      </c>
      <c r="BG125" s="50">
        <v>71.19099</v>
      </c>
      <c r="BH125" s="50">
        <v>63.50555</v>
      </c>
      <c r="BI125" s="50">
        <v>80.23133</v>
      </c>
      <c r="BJ125" s="50">
        <v>49.12569</v>
      </c>
      <c r="BK125" s="50">
        <v>75.77236</v>
      </c>
      <c r="BM125" s="50">
        <v>68.53461</v>
      </c>
      <c r="BN125" s="50">
        <v>66.98648</v>
      </c>
      <c r="BO125" s="50">
        <v>77.77591</v>
      </c>
      <c r="BP125" s="50">
        <v>55.46474</v>
      </c>
      <c r="BQ125" s="50">
        <v>80.93687</v>
      </c>
    </row>
    <row r="126" spans="1:69" ht="12.75">
      <c r="A126" s="2">
        <f>VLOOKUP(E126,'SHA cluster table data'!B118:C293,2,FALSE)</f>
        <v>115</v>
      </c>
      <c r="B126" s="2">
        <v>123</v>
      </c>
      <c r="C126" s="42" t="str">
        <f>VLOOKUP(E126,'SHA cluster table data'!$B$4:$G$171,6,FALSE)</f>
        <v>Q34</v>
      </c>
      <c r="D126" s="42" t="s">
        <v>150</v>
      </c>
      <c r="E126" s="71" t="s">
        <v>308</v>
      </c>
      <c r="F126" s="71">
        <v>123</v>
      </c>
      <c r="G126" s="104">
        <v>68.3948364603186</v>
      </c>
      <c r="H126" s="154">
        <f t="shared" si="2"/>
        <v>68.65821251576175</v>
      </c>
      <c r="I126" s="155">
        <f t="shared" si="3"/>
        <v>69.39552021958674</v>
      </c>
      <c r="J126" s="63">
        <v>66.05770716050006</v>
      </c>
      <c r="K126" s="63">
        <v>70.353014</v>
      </c>
      <c r="L126" s="63">
        <v>66.947074</v>
      </c>
      <c r="M126" s="63">
        <v>73.98732</v>
      </c>
      <c r="N126" s="63">
        <v>70.55589</v>
      </c>
      <c r="O126" s="63">
        <v>69.844846</v>
      </c>
      <c r="P126" s="86"/>
      <c r="Q126" s="103">
        <v>74.823435080436</v>
      </c>
      <c r="R126" s="103">
        <v>56.1204855327937</v>
      </c>
      <c r="S126" s="103">
        <v>82.0455643581683</v>
      </c>
      <c r="T126" s="103">
        <v>50.5020555146553</v>
      </c>
      <c r="U126" s="103">
        <v>78.4826418155396</v>
      </c>
      <c r="V126" s="86"/>
      <c r="W126" s="158">
        <v>72.4241987166637</v>
      </c>
      <c r="X126" s="158">
        <v>61.1009176746668</v>
      </c>
      <c r="Y126" s="158">
        <v>81.4105433747771</v>
      </c>
      <c r="Z126" s="158">
        <v>51.809466465167</v>
      </c>
      <c r="AA126" s="158">
        <v>76.5459363475341</v>
      </c>
      <c r="AB126" s="159"/>
      <c r="AC126" s="158">
        <v>73.2127683905706</v>
      </c>
      <c r="AD126" s="158">
        <v>64.7110021597847</v>
      </c>
      <c r="AE126" s="158">
        <v>81.5341418973012</v>
      </c>
      <c r="AF126" s="158">
        <v>47.9322815007889</v>
      </c>
      <c r="AG126" s="158">
        <v>79.5874071494883</v>
      </c>
      <c r="AH126" s="9"/>
      <c r="AI126" s="63">
        <v>72.2827889945514</v>
      </c>
      <c r="AJ126" s="63">
        <v>57.5928474118569</v>
      </c>
      <c r="AK126" s="63">
        <v>77.4524704655113</v>
      </c>
      <c r="AL126" s="63">
        <v>47.6801089818178</v>
      </c>
      <c r="AM126" s="63">
        <v>75.2803199487629</v>
      </c>
      <c r="AN126" s="9"/>
      <c r="AO126" s="50">
        <v>74.99584</v>
      </c>
      <c r="AP126" s="50">
        <v>61.15427</v>
      </c>
      <c r="AQ126" s="50">
        <v>83.15311</v>
      </c>
      <c r="AR126" s="50">
        <v>51.4281</v>
      </c>
      <c r="AS126" s="50">
        <v>81.03375</v>
      </c>
      <c r="AU126" s="50">
        <v>68.59249</v>
      </c>
      <c r="AV126" s="50">
        <v>58.75694</v>
      </c>
      <c r="AW126" s="50">
        <v>77.66327</v>
      </c>
      <c r="AX126" s="50">
        <v>49.08741</v>
      </c>
      <c r="AY126" s="50">
        <v>80.63526</v>
      </c>
      <c r="BA126" s="50">
        <v>74.69658</v>
      </c>
      <c r="BB126" s="50">
        <v>67.57617</v>
      </c>
      <c r="BC126" s="50">
        <v>82.9354</v>
      </c>
      <c r="BD126" s="50">
        <v>60.48119</v>
      </c>
      <c r="BE126" s="50">
        <v>84.24726</v>
      </c>
      <c r="BG126" s="50">
        <v>72.14344</v>
      </c>
      <c r="BH126" s="50">
        <v>62.52802</v>
      </c>
      <c r="BI126" s="50">
        <v>81.55832</v>
      </c>
      <c r="BJ126" s="50">
        <v>53.78874</v>
      </c>
      <c r="BK126" s="50">
        <v>82.76093</v>
      </c>
      <c r="BM126" s="50">
        <v>75.56306</v>
      </c>
      <c r="BN126" s="50">
        <v>58.85457</v>
      </c>
      <c r="BO126" s="50">
        <v>82.88995</v>
      </c>
      <c r="BP126" s="50">
        <v>52.33905</v>
      </c>
      <c r="BQ126" s="50">
        <v>79.5776</v>
      </c>
    </row>
    <row r="127" spans="1:69" ht="12.75">
      <c r="A127" s="2">
        <f>VLOOKUP(E127,'SHA cluster table data'!B119:C294,2,FALSE)</f>
        <v>116</v>
      </c>
      <c r="B127" s="1">
        <v>124</v>
      </c>
      <c r="C127" s="42" t="str">
        <f>VLOOKUP(E127,'SHA cluster table data'!$B$4:$G$171,6,FALSE)</f>
        <v>Q39</v>
      </c>
      <c r="D127" s="42" t="s">
        <v>230</v>
      </c>
      <c r="E127" s="71" t="s">
        <v>366</v>
      </c>
      <c r="F127" s="71">
        <v>124</v>
      </c>
      <c r="G127" s="104">
        <v>66.3372765264413</v>
      </c>
      <c r="H127" s="154">
        <f t="shared" si="2"/>
        <v>64.20704827017815</v>
      </c>
      <c r="I127" s="155">
        <f t="shared" si="3"/>
        <v>64.83672975966161</v>
      </c>
      <c r="J127" s="63">
        <v>64.64929597201345</v>
      </c>
      <c r="K127" s="63">
        <v>67.668848</v>
      </c>
      <c r="L127" s="63">
        <v>64.51128800000001</v>
      </c>
      <c r="M127" s="63">
        <v>61.781334</v>
      </c>
      <c r="N127" s="63">
        <v>66.532242</v>
      </c>
      <c r="O127" s="63">
        <v>66.28102799999999</v>
      </c>
      <c r="P127" s="86"/>
      <c r="Q127" s="103">
        <v>72.6380752224407</v>
      </c>
      <c r="R127" s="103">
        <v>58.0184650654491</v>
      </c>
      <c r="S127" s="103">
        <v>81.1419257367203</v>
      </c>
      <c r="T127" s="103">
        <v>42.8281238516407</v>
      </c>
      <c r="U127" s="103">
        <v>77.0597927559559</v>
      </c>
      <c r="V127" s="86"/>
      <c r="W127" s="158">
        <v>66.9978960492212</v>
      </c>
      <c r="X127" s="158">
        <v>58.1021598632649</v>
      </c>
      <c r="Y127" s="158">
        <v>78.1118525847095</v>
      </c>
      <c r="Z127" s="158">
        <v>43.9220924818673</v>
      </c>
      <c r="AA127" s="158">
        <v>73.9012403718278</v>
      </c>
      <c r="AB127" s="159"/>
      <c r="AC127" s="158">
        <v>68.6841283585675</v>
      </c>
      <c r="AD127" s="158">
        <v>61.3273998950041</v>
      </c>
      <c r="AE127" s="158">
        <v>78.8602715091567</v>
      </c>
      <c r="AF127" s="158">
        <v>41.1663694489095</v>
      </c>
      <c r="AG127" s="158">
        <v>74.1454795866702</v>
      </c>
      <c r="AH127" s="9"/>
      <c r="AI127" s="63">
        <v>70.4505767686923</v>
      </c>
      <c r="AJ127" s="63">
        <v>54.6772372923149</v>
      </c>
      <c r="AK127" s="63">
        <v>79.237567530687</v>
      </c>
      <c r="AL127" s="63">
        <v>44.0510842865282</v>
      </c>
      <c r="AM127" s="63">
        <v>74.8300139818448</v>
      </c>
      <c r="AN127" s="9"/>
      <c r="AO127" s="50">
        <v>70.38309</v>
      </c>
      <c r="AP127" s="50">
        <v>64.53759</v>
      </c>
      <c r="AQ127" s="50">
        <v>81.13419</v>
      </c>
      <c r="AR127" s="50">
        <v>44.94296</v>
      </c>
      <c r="AS127" s="50">
        <v>77.34641</v>
      </c>
      <c r="AU127" s="50">
        <v>71.15639</v>
      </c>
      <c r="AV127" s="50">
        <v>55.84344</v>
      </c>
      <c r="AW127" s="50">
        <v>78.64765</v>
      </c>
      <c r="AX127" s="50">
        <v>42.92972</v>
      </c>
      <c r="AY127" s="50">
        <v>73.97924</v>
      </c>
      <c r="BA127" s="50">
        <v>66.99498</v>
      </c>
      <c r="BB127" s="50">
        <v>55.27509</v>
      </c>
      <c r="BC127" s="50">
        <v>74.85867</v>
      </c>
      <c r="BD127" s="50">
        <v>40.69746</v>
      </c>
      <c r="BE127" s="50">
        <v>71.08047</v>
      </c>
      <c r="BG127" s="50">
        <v>71.21038</v>
      </c>
      <c r="BH127" s="50">
        <v>58.82383</v>
      </c>
      <c r="BI127" s="50">
        <v>79.99284</v>
      </c>
      <c r="BJ127" s="50">
        <v>46.67063</v>
      </c>
      <c r="BK127" s="50">
        <v>75.96353</v>
      </c>
      <c r="BM127" s="50">
        <v>70.35102</v>
      </c>
      <c r="BN127" s="50">
        <v>59.16448</v>
      </c>
      <c r="BO127" s="50">
        <v>78.48108</v>
      </c>
      <c r="BP127" s="50">
        <v>47.01822</v>
      </c>
      <c r="BQ127" s="50">
        <v>76.39034</v>
      </c>
    </row>
    <row r="128" spans="1:69" ht="12.75">
      <c r="A128" s="2">
        <f>VLOOKUP(E128,'SHA cluster table data'!B120:C295,2,FALSE)</f>
        <v>117</v>
      </c>
      <c r="B128" s="2">
        <v>125</v>
      </c>
      <c r="C128" s="42" t="str">
        <f>VLOOKUP(E128,'SHA cluster table data'!$B$4:$G$171,6,FALSE)</f>
        <v>Q34</v>
      </c>
      <c r="D128" s="42" t="s">
        <v>239</v>
      </c>
      <c r="E128" s="71" t="s">
        <v>309</v>
      </c>
      <c r="F128" s="71">
        <v>125</v>
      </c>
      <c r="G128" s="104">
        <v>68.4436655966648</v>
      </c>
      <c r="H128" s="154">
        <f t="shared" si="2"/>
        <v>66.04876218566822</v>
      </c>
      <c r="I128" s="155">
        <f t="shared" si="3"/>
        <v>64.03024645439996</v>
      </c>
      <c r="J128" s="63">
        <v>64.72727719785482</v>
      </c>
      <c r="K128" s="63">
        <v>64.779024</v>
      </c>
      <c r="L128" s="63">
        <v>65.53130200000001</v>
      </c>
      <c r="M128" s="63">
        <v>64.77975799999999</v>
      </c>
      <c r="N128" s="63">
        <v>64.87147</v>
      </c>
      <c r="O128" s="63">
        <v>64.23171599999999</v>
      </c>
      <c r="P128" s="86"/>
      <c r="Q128" s="103">
        <v>72.4520083527017</v>
      </c>
      <c r="R128" s="103">
        <v>58.5472616072639</v>
      </c>
      <c r="S128" s="103">
        <v>84.9174752195461</v>
      </c>
      <c r="T128" s="103">
        <v>46.1808723156932</v>
      </c>
      <c r="U128" s="103">
        <v>80.1207104881192</v>
      </c>
      <c r="V128" s="86"/>
      <c r="W128" s="158">
        <v>71.9809967880077</v>
      </c>
      <c r="X128" s="158">
        <v>56.5617094924484</v>
      </c>
      <c r="Y128" s="158">
        <v>79.8289013636618</v>
      </c>
      <c r="Z128" s="158">
        <v>47.3366950594611</v>
      </c>
      <c r="AA128" s="158">
        <v>74.5355082247621</v>
      </c>
      <c r="AB128" s="159"/>
      <c r="AC128" s="158">
        <v>71.1693866836655</v>
      </c>
      <c r="AD128" s="158">
        <v>53.9205653341107</v>
      </c>
      <c r="AE128" s="158">
        <v>80.1076129959844</v>
      </c>
      <c r="AF128" s="158">
        <v>41.1073774114731</v>
      </c>
      <c r="AG128" s="158">
        <v>73.8462898467661</v>
      </c>
      <c r="AH128" s="9"/>
      <c r="AI128" s="63">
        <v>69.8921725410041</v>
      </c>
      <c r="AJ128" s="63">
        <v>57.4058152071515</v>
      </c>
      <c r="AK128" s="63">
        <v>80.1350445346029</v>
      </c>
      <c r="AL128" s="63">
        <v>40.680439210662</v>
      </c>
      <c r="AM128" s="63">
        <v>75.5229144958536</v>
      </c>
      <c r="AN128" s="9"/>
      <c r="AO128" s="50">
        <v>68.82563</v>
      </c>
      <c r="AP128" s="50">
        <v>58.91577</v>
      </c>
      <c r="AQ128" s="50">
        <v>81.97073</v>
      </c>
      <c r="AR128" s="50">
        <v>41.93207</v>
      </c>
      <c r="AS128" s="50">
        <v>72.25092</v>
      </c>
      <c r="AU128" s="50">
        <v>69.60529</v>
      </c>
      <c r="AV128" s="50">
        <v>60.04805</v>
      </c>
      <c r="AW128" s="50">
        <v>78.27615</v>
      </c>
      <c r="AX128" s="50">
        <v>43.90845</v>
      </c>
      <c r="AY128" s="50">
        <v>75.81857</v>
      </c>
      <c r="BA128" s="50">
        <v>66.74174</v>
      </c>
      <c r="BB128" s="50">
        <v>61.74704</v>
      </c>
      <c r="BC128" s="50">
        <v>80.84727</v>
      </c>
      <c r="BD128" s="50">
        <v>39.94706</v>
      </c>
      <c r="BE128" s="50">
        <v>74.61568</v>
      </c>
      <c r="BG128" s="50">
        <v>68.44785</v>
      </c>
      <c r="BH128" s="50">
        <v>59.26403</v>
      </c>
      <c r="BI128" s="50">
        <v>77.05624</v>
      </c>
      <c r="BJ128" s="50">
        <v>43.35177</v>
      </c>
      <c r="BK128" s="50">
        <v>76.23746</v>
      </c>
      <c r="BM128" s="50">
        <v>69.85444</v>
      </c>
      <c r="BN128" s="50">
        <v>61.09385</v>
      </c>
      <c r="BO128" s="50">
        <v>78.4599</v>
      </c>
      <c r="BP128" s="50">
        <v>42.0863</v>
      </c>
      <c r="BQ128" s="50">
        <v>69.66409</v>
      </c>
    </row>
    <row r="129" spans="1:69" ht="12.75">
      <c r="A129" s="2">
        <f>VLOOKUP(E129,'SHA cluster table data'!B121:C296,2,FALSE)</f>
        <v>118</v>
      </c>
      <c r="B129" s="2">
        <v>126</v>
      </c>
      <c r="C129" s="42" t="str">
        <f>VLOOKUP(E129,'SHA cluster table data'!$B$4:$G$171,6,FALSE)</f>
        <v>Q31</v>
      </c>
      <c r="D129" s="42" t="s">
        <v>151</v>
      </c>
      <c r="E129" s="71" t="s">
        <v>310</v>
      </c>
      <c r="F129" s="71">
        <v>126</v>
      </c>
      <c r="G129" s="104">
        <v>62.1946754577409</v>
      </c>
      <c r="H129" s="154">
        <f t="shared" si="2"/>
        <v>63.74585599548826</v>
      </c>
      <c r="I129" s="155">
        <f t="shared" si="3"/>
        <v>63.87710471979334</v>
      </c>
      <c r="J129" s="63">
        <v>65.99540358227009</v>
      </c>
      <c r="K129" s="63">
        <v>65.85847199999999</v>
      </c>
      <c r="L129" s="63">
        <v>65.819826</v>
      </c>
      <c r="M129" s="63">
        <v>63.377124</v>
      </c>
      <c r="N129" s="63">
        <v>64.28055400000001</v>
      </c>
      <c r="O129" s="63">
        <v>66.37147999999999</v>
      </c>
      <c r="P129" s="86"/>
      <c r="Q129" s="103">
        <v>68.0377370429506</v>
      </c>
      <c r="R129" s="103">
        <v>53.1731011037049</v>
      </c>
      <c r="S129" s="103">
        <v>81.0064991478495</v>
      </c>
      <c r="T129" s="103">
        <v>41.2511060320855</v>
      </c>
      <c r="U129" s="103">
        <v>67.5049339621139</v>
      </c>
      <c r="V129" s="86"/>
      <c r="W129" s="158">
        <v>66.4589044331884</v>
      </c>
      <c r="X129" s="158">
        <v>56.9000906510895</v>
      </c>
      <c r="Y129" s="158">
        <v>82.2163544754148</v>
      </c>
      <c r="Z129" s="158">
        <v>43.6586082883123</v>
      </c>
      <c r="AA129" s="158">
        <v>69.4953221294363</v>
      </c>
      <c r="AB129" s="159"/>
      <c r="AC129" s="158">
        <v>68.8544955739309</v>
      </c>
      <c r="AD129" s="158">
        <v>57.6334810044155</v>
      </c>
      <c r="AE129" s="158">
        <v>82.3192174618038</v>
      </c>
      <c r="AF129" s="158">
        <v>43.2290200740454</v>
      </c>
      <c r="AG129" s="158">
        <v>67.3493094847711</v>
      </c>
      <c r="AH129" s="9"/>
      <c r="AI129" s="63">
        <v>71.532980391096</v>
      </c>
      <c r="AJ129" s="63">
        <v>60.6423629386612</v>
      </c>
      <c r="AK129" s="63">
        <v>83.1383098458288</v>
      </c>
      <c r="AL129" s="63">
        <v>44.5205555284108</v>
      </c>
      <c r="AM129" s="63">
        <v>70.1428092073536</v>
      </c>
      <c r="AN129" s="9"/>
      <c r="AO129" s="50">
        <v>68.26208</v>
      </c>
      <c r="AP129" s="50">
        <v>60.35443</v>
      </c>
      <c r="AQ129" s="50">
        <v>82.93316</v>
      </c>
      <c r="AR129" s="50">
        <v>45.27198</v>
      </c>
      <c r="AS129" s="50">
        <v>72.47071</v>
      </c>
      <c r="AU129" s="50">
        <v>70.92076</v>
      </c>
      <c r="AV129" s="50">
        <v>58.14795</v>
      </c>
      <c r="AW129" s="50">
        <v>80.84103</v>
      </c>
      <c r="AX129" s="50">
        <v>45.78939</v>
      </c>
      <c r="AY129" s="50">
        <v>73.4</v>
      </c>
      <c r="BA129" s="50">
        <v>67.90183</v>
      </c>
      <c r="BB129" s="50">
        <v>57.70375</v>
      </c>
      <c r="BC129" s="50">
        <v>83.21518</v>
      </c>
      <c r="BD129" s="50">
        <v>37.09637</v>
      </c>
      <c r="BE129" s="50">
        <v>70.96849</v>
      </c>
      <c r="BG129" s="50">
        <v>69.78506</v>
      </c>
      <c r="BH129" s="50">
        <v>57.2623</v>
      </c>
      <c r="BI129" s="50">
        <v>83.02338</v>
      </c>
      <c r="BJ129" s="50">
        <v>40.76379</v>
      </c>
      <c r="BK129" s="50">
        <v>70.56824</v>
      </c>
      <c r="BM129" s="50">
        <v>70.35858</v>
      </c>
      <c r="BN129" s="50">
        <v>58.66746</v>
      </c>
      <c r="BO129" s="50">
        <v>82.4326</v>
      </c>
      <c r="BP129" s="50">
        <v>46.72166</v>
      </c>
      <c r="BQ129" s="50">
        <v>73.6771</v>
      </c>
    </row>
    <row r="130" spans="1:69" ht="12.75">
      <c r="A130" s="2">
        <f>VLOOKUP(E130,'SHA cluster table data'!B122:C297,2,FALSE)</f>
        <v>119</v>
      </c>
      <c r="B130" s="2">
        <v>127</v>
      </c>
      <c r="C130" s="42" t="str">
        <f>VLOOKUP(E130,'SHA cluster table data'!$B$4:$G$171,6,FALSE)</f>
        <v>Q36</v>
      </c>
      <c r="D130" s="42" t="s">
        <v>64</v>
      </c>
      <c r="E130" s="71" t="s">
        <v>397</v>
      </c>
      <c r="F130" s="71">
        <v>127</v>
      </c>
      <c r="G130" s="104">
        <v>66.6461387089573</v>
      </c>
      <c r="H130" s="154">
        <f t="shared" si="2"/>
        <v>66.13088577752418</v>
      </c>
      <c r="I130" s="155">
        <f t="shared" si="3"/>
        <v>68.3519500517588</v>
      </c>
      <c r="J130" s="63">
        <v>62.176551668187116</v>
      </c>
      <c r="K130" s="63">
        <v>66.82388</v>
      </c>
      <c r="L130" s="63">
        <v>66.140268</v>
      </c>
      <c r="M130" s="63">
        <v>64.552842</v>
      </c>
      <c r="N130" s="63">
        <v>67.23960400000001</v>
      </c>
      <c r="O130" s="63">
        <v>65.309792</v>
      </c>
      <c r="P130" s="86"/>
      <c r="Q130" s="103">
        <v>71.6309281030431</v>
      </c>
      <c r="R130" s="103">
        <v>51.784157145132</v>
      </c>
      <c r="S130" s="103">
        <v>84.44735838353</v>
      </c>
      <c r="T130" s="103">
        <v>49.8878483453158</v>
      </c>
      <c r="U130" s="103">
        <v>75.4804015677655</v>
      </c>
      <c r="V130" s="86"/>
      <c r="W130" s="158">
        <v>70.3266939854933</v>
      </c>
      <c r="X130" s="158">
        <v>56.4309812171734</v>
      </c>
      <c r="Y130" s="158">
        <v>82.2905479658554</v>
      </c>
      <c r="Z130" s="158">
        <v>46.410136892433</v>
      </c>
      <c r="AA130" s="158">
        <v>75.1960688266658</v>
      </c>
      <c r="AB130" s="159"/>
      <c r="AC130" s="158">
        <v>70.2793159535912</v>
      </c>
      <c r="AD130" s="158">
        <v>63.6059075150496</v>
      </c>
      <c r="AE130" s="158">
        <v>82.7291879595699</v>
      </c>
      <c r="AF130" s="158">
        <v>49.4810833366906</v>
      </c>
      <c r="AG130" s="158">
        <v>75.6642554938927</v>
      </c>
      <c r="AH130" s="9"/>
      <c r="AI130" s="63">
        <v>66.5025915941759</v>
      </c>
      <c r="AJ130" s="63">
        <v>53.2492033627122</v>
      </c>
      <c r="AK130" s="63">
        <v>78.6796400241397</v>
      </c>
      <c r="AL130" s="63">
        <v>38.556441985237</v>
      </c>
      <c r="AM130" s="63">
        <v>73.8948813746708</v>
      </c>
      <c r="AN130" s="9"/>
      <c r="AO130" s="50">
        <v>69.0686</v>
      </c>
      <c r="AP130" s="50">
        <v>59.58976</v>
      </c>
      <c r="AQ130" s="50">
        <v>82.3896</v>
      </c>
      <c r="AR130" s="50">
        <v>45.8107</v>
      </c>
      <c r="AS130" s="50">
        <v>77.26074</v>
      </c>
      <c r="AU130" s="50">
        <v>70.45152</v>
      </c>
      <c r="AV130" s="50">
        <v>57.23608</v>
      </c>
      <c r="AW130" s="50">
        <v>80.91875</v>
      </c>
      <c r="AX130" s="50">
        <v>44.8365</v>
      </c>
      <c r="AY130" s="50">
        <v>77.25849</v>
      </c>
      <c r="BA130" s="50">
        <v>70.65288</v>
      </c>
      <c r="BB130" s="50">
        <v>54.12701</v>
      </c>
      <c r="BC130" s="50">
        <v>79.71593</v>
      </c>
      <c r="BD130" s="50">
        <v>45.54656</v>
      </c>
      <c r="BE130" s="50">
        <v>72.72183</v>
      </c>
      <c r="BG130" s="50">
        <v>72.36995</v>
      </c>
      <c r="BH130" s="50">
        <v>60.29071</v>
      </c>
      <c r="BI130" s="50">
        <v>81.2577</v>
      </c>
      <c r="BJ130" s="50">
        <v>47.43905</v>
      </c>
      <c r="BK130" s="50">
        <v>74.84061</v>
      </c>
      <c r="BM130" s="50">
        <v>66.50499</v>
      </c>
      <c r="BN130" s="50">
        <v>58.51257</v>
      </c>
      <c r="BO130" s="50">
        <v>78.87062</v>
      </c>
      <c r="BP130" s="50">
        <v>45.79021</v>
      </c>
      <c r="BQ130" s="50">
        <v>76.87057</v>
      </c>
    </row>
    <row r="131" spans="1:69" ht="12.75">
      <c r="A131" s="2">
        <f>VLOOKUP(E131,'SHA cluster table data'!B123:C298,2,FALSE)</f>
        <v>120</v>
      </c>
      <c r="B131" s="1">
        <v>128</v>
      </c>
      <c r="C131" s="42" t="str">
        <f>VLOOKUP(E131,'SHA cluster table data'!$B$4:$G$171,6,FALSE)</f>
        <v>Q31</v>
      </c>
      <c r="D131" s="42" t="s">
        <v>152</v>
      </c>
      <c r="E131" s="71" t="s">
        <v>311</v>
      </c>
      <c r="F131" s="71">
        <v>128</v>
      </c>
      <c r="G131" s="104">
        <v>68.7104717034565</v>
      </c>
      <c r="H131" s="154">
        <f t="shared" si="2"/>
        <v>69.78643494705838</v>
      </c>
      <c r="I131" s="155">
        <f t="shared" si="3"/>
        <v>70.12961406968591</v>
      </c>
      <c r="J131" s="63">
        <v>69.94428634970066</v>
      </c>
      <c r="K131" s="63">
        <v>68.16817</v>
      </c>
      <c r="L131" s="63">
        <v>68.27230599999999</v>
      </c>
      <c r="M131" s="63">
        <v>72.86298200000002</v>
      </c>
      <c r="N131" s="63">
        <v>71.56032400000001</v>
      </c>
      <c r="O131" s="63">
        <v>69.28128000000001</v>
      </c>
      <c r="P131" s="86"/>
      <c r="Q131" s="103">
        <v>73.8859021780944</v>
      </c>
      <c r="R131" s="103">
        <v>56.4398790192063</v>
      </c>
      <c r="S131" s="103">
        <v>86.9857728519672</v>
      </c>
      <c r="T131" s="103">
        <v>45.1855875998154</v>
      </c>
      <c r="U131" s="103">
        <v>81.0552168681993</v>
      </c>
      <c r="V131" s="86"/>
      <c r="W131" s="158">
        <v>72.188757121694</v>
      </c>
      <c r="X131" s="158">
        <v>64.3772749473256</v>
      </c>
      <c r="Y131" s="158">
        <v>87.8101407724026</v>
      </c>
      <c r="Z131" s="158">
        <v>49.6261656028479</v>
      </c>
      <c r="AA131" s="158">
        <v>74.9298362910218</v>
      </c>
      <c r="AB131" s="159"/>
      <c r="AC131" s="158">
        <v>68.3360741486052</v>
      </c>
      <c r="AD131" s="158">
        <v>62.0743122434549</v>
      </c>
      <c r="AE131" s="158">
        <v>85.9355683576001</v>
      </c>
      <c r="AF131" s="158">
        <v>52.8693851364077</v>
      </c>
      <c r="AG131" s="158">
        <v>81.4327304623616</v>
      </c>
      <c r="AH131" s="9"/>
      <c r="AI131" s="63">
        <v>74.5941799113456</v>
      </c>
      <c r="AJ131" s="63">
        <v>63.2480351618385</v>
      </c>
      <c r="AK131" s="63">
        <v>83.2420513316496</v>
      </c>
      <c r="AL131" s="63">
        <v>50.0764772038043</v>
      </c>
      <c r="AM131" s="63">
        <v>78.5606881398653</v>
      </c>
      <c r="AN131" s="9"/>
      <c r="AO131" s="50">
        <v>69.17169</v>
      </c>
      <c r="AP131" s="50">
        <v>64.57441</v>
      </c>
      <c r="AQ131" s="50">
        <v>81.46278</v>
      </c>
      <c r="AR131" s="50">
        <v>50.78295</v>
      </c>
      <c r="AS131" s="50">
        <v>74.84902</v>
      </c>
      <c r="AU131" s="50">
        <v>67.88557</v>
      </c>
      <c r="AV131" s="50">
        <v>60.87182</v>
      </c>
      <c r="AW131" s="50">
        <v>80.73377</v>
      </c>
      <c r="AX131" s="50">
        <v>50.60756</v>
      </c>
      <c r="AY131" s="50">
        <v>81.26281</v>
      </c>
      <c r="BA131" s="50">
        <v>74.51841</v>
      </c>
      <c r="BB131" s="50">
        <v>67.73231</v>
      </c>
      <c r="BC131" s="50">
        <v>84.54119</v>
      </c>
      <c r="BD131" s="50">
        <v>54.35627</v>
      </c>
      <c r="BE131" s="50">
        <v>83.16673</v>
      </c>
      <c r="BG131" s="50">
        <v>72.17464</v>
      </c>
      <c r="BH131" s="50">
        <v>64.96652</v>
      </c>
      <c r="BI131" s="50">
        <v>87.31206</v>
      </c>
      <c r="BJ131" s="50">
        <v>50.28489</v>
      </c>
      <c r="BK131" s="50">
        <v>83.06351</v>
      </c>
      <c r="BM131" s="50">
        <v>71.34915</v>
      </c>
      <c r="BN131" s="50">
        <v>61.6833</v>
      </c>
      <c r="BO131" s="50">
        <v>82.81686</v>
      </c>
      <c r="BP131" s="50">
        <v>47.29012</v>
      </c>
      <c r="BQ131" s="50">
        <v>83.26697</v>
      </c>
    </row>
    <row r="132" spans="1:69" ht="12.75">
      <c r="A132" s="2">
        <f>VLOOKUP(E132,'SHA cluster table data'!B124:C299,2,FALSE)</f>
        <v>121</v>
      </c>
      <c r="B132" s="2">
        <v>129</v>
      </c>
      <c r="C132" s="42" t="str">
        <f>VLOOKUP(E132,'SHA cluster table data'!$B$4:$G$171,6,FALSE)</f>
        <v>Q31</v>
      </c>
      <c r="D132" s="42" t="s">
        <v>28</v>
      </c>
      <c r="E132" s="71" t="s">
        <v>341</v>
      </c>
      <c r="F132" s="71">
        <v>129</v>
      </c>
      <c r="G132" s="104">
        <v>63.2748203494433</v>
      </c>
      <c r="H132" s="154">
        <f t="shared" si="2"/>
        <v>61.42376796038788</v>
      </c>
      <c r="I132" s="155">
        <f t="shared" si="3"/>
        <v>63.37589393616817</v>
      </c>
      <c r="J132" s="63">
        <v>63.591064877157805</v>
      </c>
      <c r="K132" s="63">
        <v>65.42782600000001</v>
      </c>
      <c r="L132" s="63">
        <v>63.798415999999996</v>
      </c>
      <c r="M132" s="63">
        <v>63.082924000000006</v>
      </c>
      <c r="N132" s="63">
        <v>64.886814</v>
      </c>
      <c r="O132" s="63">
        <v>64.886646</v>
      </c>
      <c r="P132" s="86"/>
      <c r="Q132" s="103">
        <v>67.6937756395368</v>
      </c>
      <c r="R132" s="103">
        <v>57.422457134224</v>
      </c>
      <c r="S132" s="103">
        <v>80.351300032141</v>
      </c>
      <c r="T132" s="103">
        <v>41.2168586682114</v>
      </c>
      <c r="U132" s="103">
        <v>69.6897102731031</v>
      </c>
      <c r="V132" s="86"/>
      <c r="W132" s="158">
        <v>67.8642670350631</v>
      </c>
      <c r="X132" s="158">
        <v>50.7433918250835</v>
      </c>
      <c r="Y132" s="158">
        <v>78.5969784680274</v>
      </c>
      <c r="Z132" s="158">
        <v>40.8495780031298</v>
      </c>
      <c r="AA132" s="158">
        <v>69.0646244706356</v>
      </c>
      <c r="AB132" s="159"/>
      <c r="AC132" s="158">
        <v>70.7362705860659</v>
      </c>
      <c r="AD132" s="158">
        <v>57.0902627062901</v>
      </c>
      <c r="AE132" s="158">
        <v>82.5555624163855</v>
      </c>
      <c r="AF132" s="158">
        <v>36.0208931233032</v>
      </c>
      <c r="AG132" s="158">
        <v>70.4764808487961</v>
      </c>
      <c r="AH132" s="9"/>
      <c r="AI132" s="63">
        <v>71.3589779750743</v>
      </c>
      <c r="AJ132" s="63">
        <v>59.8147625452509</v>
      </c>
      <c r="AK132" s="63">
        <v>78.49823347479</v>
      </c>
      <c r="AL132" s="63">
        <v>40.7091813243013</v>
      </c>
      <c r="AM132" s="63">
        <v>67.5741690663725</v>
      </c>
      <c r="AN132" s="9"/>
      <c r="AO132" s="50">
        <v>70.65038</v>
      </c>
      <c r="AP132" s="50">
        <v>59.25006</v>
      </c>
      <c r="AQ132" s="50">
        <v>81.66998</v>
      </c>
      <c r="AR132" s="50">
        <v>46.19891</v>
      </c>
      <c r="AS132" s="50">
        <v>69.3698</v>
      </c>
      <c r="AU132" s="50">
        <v>69.84941</v>
      </c>
      <c r="AV132" s="50">
        <v>57.82269</v>
      </c>
      <c r="AW132" s="50">
        <v>79.05682</v>
      </c>
      <c r="AX132" s="50">
        <v>40.74545</v>
      </c>
      <c r="AY132" s="50">
        <v>71.51771</v>
      </c>
      <c r="BA132" s="50">
        <v>67.99077</v>
      </c>
      <c r="BB132" s="50">
        <v>57.35628</v>
      </c>
      <c r="BC132" s="50">
        <v>80.36015</v>
      </c>
      <c r="BD132" s="50">
        <v>39.85973</v>
      </c>
      <c r="BE132" s="50">
        <v>69.84769</v>
      </c>
      <c r="BG132" s="50">
        <v>68.86308</v>
      </c>
      <c r="BH132" s="50">
        <v>61.34066</v>
      </c>
      <c r="BI132" s="50">
        <v>79.45819</v>
      </c>
      <c r="BJ132" s="50">
        <v>45.21395</v>
      </c>
      <c r="BK132" s="50">
        <v>69.55819</v>
      </c>
      <c r="BM132" s="50">
        <v>71.42794</v>
      </c>
      <c r="BN132" s="50">
        <v>61.28222</v>
      </c>
      <c r="BO132" s="50">
        <v>79.67288</v>
      </c>
      <c r="BP132" s="50">
        <v>41.19407</v>
      </c>
      <c r="BQ132" s="50">
        <v>70.85612</v>
      </c>
    </row>
    <row r="133" spans="1:69" ht="12.75">
      <c r="A133" s="2">
        <f>VLOOKUP(E133,'SHA cluster table data'!B125:C300,2,FALSE)</f>
        <v>122</v>
      </c>
      <c r="B133" s="2">
        <v>130</v>
      </c>
      <c r="C133" s="42" t="str">
        <f>VLOOKUP(E133,'SHA cluster table data'!$B$4:$G$171,6,FALSE)</f>
        <v>Q39</v>
      </c>
      <c r="D133" s="42" t="s">
        <v>71</v>
      </c>
      <c r="E133" s="71" t="s">
        <v>407</v>
      </c>
      <c r="F133" s="71">
        <v>130</v>
      </c>
      <c r="G133" s="104">
        <v>64.9906307835494</v>
      </c>
      <c r="H133" s="154">
        <f t="shared" si="2"/>
        <v>62.21455729543578</v>
      </c>
      <c r="I133" s="155">
        <f t="shared" si="3"/>
        <v>62.88737330022288</v>
      </c>
      <c r="J133" s="63">
        <v>62.79604394080644</v>
      </c>
      <c r="K133" s="63">
        <v>63.560226</v>
      </c>
      <c r="L133" s="63">
        <v>63.88809</v>
      </c>
      <c r="M133" s="63">
        <v>58.304469999999995</v>
      </c>
      <c r="N133" s="63">
        <v>58.92869399999999</v>
      </c>
      <c r="O133" s="63">
        <v>63.41268400000001</v>
      </c>
      <c r="P133" s="86"/>
      <c r="Q133" s="103">
        <v>70.7561122412633</v>
      </c>
      <c r="R133" s="103">
        <v>51.6498996721415</v>
      </c>
      <c r="S133" s="103">
        <v>87.6624663114715</v>
      </c>
      <c r="T133" s="103">
        <v>41.5177067650211</v>
      </c>
      <c r="U133" s="103">
        <v>73.3669689278499</v>
      </c>
      <c r="V133" s="86"/>
      <c r="W133" s="158">
        <v>64.6181732603001</v>
      </c>
      <c r="X133" s="158">
        <v>50.7483629070499</v>
      </c>
      <c r="Y133" s="158">
        <v>80.0543112225014</v>
      </c>
      <c r="Z133" s="158">
        <v>44.2343722189343</v>
      </c>
      <c r="AA133" s="158">
        <v>71.4175668683932</v>
      </c>
      <c r="AB133" s="159"/>
      <c r="AC133" s="158">
        <v>67.402892892032</v>
      </c>
      <c r="AD133" s="158">
        <v>53.8814446288315</v>
      </c>
      <c r="AE133" s="158">
        <v>80.7314714207657</v>
      </c>
      <c r="AF133" s="158">
        <v>40.1515391227613</v>
      </c>
      <c r="AG133" s="158">
        <v>72.2695184367239</v>
      </c>
      <c r="AH133" s="9"/>
      <c r="AI133" s="63">
        <v>65.4483189271212</v>
      </c>
      <c r="AJ133" s="63">
        <v>54.2193571802334</v>
      </c>
      <c r="AK133" s="63">
        <v>82.0315833140553</v>
      </c>
      <c r="AL133" s="63">
        <v>41.0276440563929</v>
      </c>
      <c r="AM133" s="63">
        <v>71.2533162262294</v>
      </c>
      <c r="AN133" s="9"/>
      <c r="AO133" s="50">
        <v>69.149</v>
      </c>
      <c r="AP133" s="50">
        <v>57.84029</v>
      </c>
      <c r="AQ133" s="50">
        <v>83.0973</v>
      </c>
      <c r="AR133" s="50">
        <v>40.41399</v>
      </c>
      <c r="AS133" s="50">
        <v>67.30055</v>
      </c>
      <c r="AU133" s="50">
        <v>67.78353</v>
      </c>
      <c r="AV133" s="50">
        <v>56.03151</v>
      </c>
      <c r="AW133" s="50">
        <v>78.71701</v>
      </c>
      <c r="AX133" s="50">
        <v>45.00548</v>
      </c>
      <c r="AY133" s="50">
        <v>71.90292</v>
      </c>
      <c r="BA133" s="50">
        <v>63.88964</v>
      </c>
      <c r="BB133" s="50">
        <v>50.42073</v>
      </c>
      <c r="BC133" s="50">
        <v>77.96918</v>
      </c>
      <c r="BD133" s="50">
        <v>36.65156</v>
      </c>
      <c r="BE133" s="50">
        <v>62.59124</v>
      </c>
      <c r="BG133" s="50">
        <v>64.21883</v>
      </c>
      <c r="BH133" s="50">
        <v>51.1806</v>
      </c>
      <c r="BI133" s="50">
        <v>75.34393</v>
      </c>
      <c r="BJ133" s="50">
        <v>40.40951</v>
      </c>
      <c r="BK133" s="50">
        <v>63.4906</v>
      </c>
      <c r="BM133" s="50">
        <v>69.14011</v>
      </c>
      <c r="BN133" s="50">
        <v>59.64306</v>
      </c>
      <c r="BO133" s="50">
        <v>78.64455</v>
      </c>
      <c r="BP133" s="50">
        <v>40.86401</v>
      </c>
      <c r="BQ133" s="50">
        <v>68.77169</v>
      </c>
    </row>
    <row r="134" spans="1:69" ht="12.75">
      <c r="A134" s="2">
        <f>VLOOKUP(E134,'SHA cluster table data'!B126:C301,2,FALSE)</f>
        <v>123</v>
      </c>
      <c r="B134" s="2">
        <v>131</v>
      </c>
      <c r="C134" s="42" t="str">
        <f>VLOOKUP(E134,'SHA cluster table data'!$B$4:$G$171,6,FALSE)</f>
        <v>Q31</v>
      </c>
      <c r="D134" s="42" t="s">
        <v>107</v>
      </c>
      <c r="E134" s="71" t="s">
        <v>312</v>
      </c>
      <c r="F134" s="71">
        <v>131</v>
      </c>
      <c r="G134" s="104">
        <v>62.8387806943181</v>
      </c>
      <c r="H134" s="154">
        <f aca="true" t="shared" si="4" ref="H134:H171">AVERAGE(W134:AA134)</f>
        <v>58.998279230772845</v>
      </c>
      <c r="I134" s="155">
        <f aca="true" t="shared" si="5" ref="I134:I171">AVERAGE(AC134:AG134)</f>
        <v>62.007800578121895</v>
      </c>
      <c r="J134" s="63">
        <v>63.00832618389488</v>
      </c>
      <c r="K134" s="63">
        <v>64.645592</v>
      </c>
      <c r="L134" s="63">
        <v>62.775</v>
      </c>
      <c r="M134" s="63">
        <v>61.075866</v>
      </c>
      <c r="N134" s="63">
        <v>63.609210000000004</v>
      </c>
      <c r="O134" s="63">
        <v>65.22950999999999</v>
      </c>
      <c r="P134" s="86"/>
      <c r="Q134" s="103">
        <v>67.5779204363163</v>
      </c>
      <c r="R134" s="103">
        <v>52.052543286298</v>
      </c>
      <c r="S134" s="103">
        <v>81.8871817614453</v>
      </c>
      <c r="T134" s="103">
        <v>46.2996458499463</v>
      </c>
      <c r="U134" s="103">
        <v>66.3766121375847</v>
      </c>
      <c r="V134" s="86"/>
      <c r="W134" s="158">
        <v>65.6270475940127</v>
      </c>
      <c r="X134" s="158">
        <v>54.0834413029503</v>
      </c>
      <c r="Y134" s="158">
        <v>77.377922426972</v>
      </c>
      <c r="Z134" s="158">
        <v>37.1458817170257</v>
      </c>
      <c r="AA134" s="158">
        <v>60.7571031129035</v>
      </c>
      <c r="AB134" s="159"/>
      <c r="AC134" s="158">
        <v>66.2377917621868</v>
      </c>
      <c r="AD134" s="158">
        <v>60.3249982673509</v>
      </c>
      <c r="AE134" s="158">
        <v>80.9088740660957</v>
      </c>
      <c r="AF134" s="158">
        <v>39.2846508861548</v>
      </c>
      <c r="AG134" s="158">
        <v>63.2826879088213</v>
      </c>
      <c r="AH134" s="9"/>
      <c r="AI134" s="63">
        <v>68.9920202645125</v>
      </c>
      <c r="AJ134" s="63">
        <v>54.0978511615374</v>
      </c>
      <c r="AK134" s="63">
        <v>76.8186798554217</v>
      </c>
      <c r="AL134" s="63">
        <v>45.1642521362023</v>
      </c>
      <c r="AM134" s="63">
        <v>69.9688275018005</v>
      </c>
      <c r="AN134" s="9"/>
      <c r="AO134" s="50">
        <v>70.22735</v>
      </c>
      <c r="AP134" s="50">
        <v>61.3685</v>
      </c>
      <c r="AQ134" s="50">
        <v>82.29898</v>
      </c>
      <c r="AR134" s="50">
        <v>37.50558</v>
      </c>
      <c r="AS134" s="50">
        <v>71.82755</v>
      </c>
      <c r="AU134" s="50">
        <v>69.80955</v>
      </c>
      <c r="AV134" s="50">
        <v>58.27638</v>
      </c>
      <c r="AW134" s="50">
        <v>79.078</v>
      </c>
      <c r="AX134" s="50">
        <v>39.45256</v>
      </c>
      <c r="AY134" s="50">
        <v>67.25851</v>
      </c>
      <c r="BA134" s="50">
        <v>70.87751</v>
      </c>
      <c r="BB134" s="50">
        <v>55.18682</v>
      </c>
      <c r="BC134" s="50">
        <v>78.40867</v>
      </c>
      <c r="BD134" s="50">
        <v>35.2061</v>
      </c>
      <c r="BE134" s="50">
        <v>65.70023</v>
      </c>
      <c r="BG134" s="50">
        <v>67.46088</v>
      </c>
      <c r="BH134" s="50">
        <v>57.89722</v>
      </c>
      <c r="BI134" s="50">
        <v>80.22945</v>
      </c>
      <c r="BJ134" s="50">
        <v>40.39021</v>
      </c>
      <c r="BK134" s="50">
        <v>72.06829</v>
      </c>
      <c r="BM134" s="50">
        <v>69.22878</v>
      </c>
      <c r="BN134" s="50">
        <v>63.39062</v>
      </c>
      <c r="BO134" s="50">
        <v>80.48035</v>
      </c>
      <c r="BP134" s="50">
        <v>44.36114</v>
      </c>
      <c r="BQ134" s="50">
        <v>68.68666</v>
      </c>
    </row>
    <row r="135" spans="1:69" ht="12.75">
      <c r="A135" s="2">
        <f>VLOOKUP(E135,'SHA cluster table data'!B127:C302,2,FALSE)</f>
        <v>124</v>
      </c>
      <c r="B135" s="1">
        <v>132</v>
      </c>
      <c r="C135" s="42" t="str">
        <f>VLOOKUP(E135,'SHA cluster table data'!$B$4:$G$171,6,FALSE)</f>
        <v>Q39</v>
      </c>
      <c r="D135" s="42" t="s">
        <v>108</v>
      </c>
      <c r="E135" s="71" t="s">
        <v>313</v>
      </c>
      <c r="F135" s="71">
        <v>132</v>
      </c>
      <c r="G135" s="104">
        <v>69.4761740871054</v>
      </c>
      <c r="H135" s="154">
        <f t="shared" si="4"/>
        <v>68.94029626510616</v>
      </c>
      <c r="I135" s="155">
        <f t="shared" si="5"/>
        <v>69.67493798432119</v>
      </c>
      <c r="J135" s="63">
        <v>68.2993549200204</v>
      </c>
      <c r="K135" s="63">
        <v>69.039902</v>
      </c>
      <c r="L135" s="63">
        <v>67.62390400000001</v>
      </c>
      <c r="M135" s="63">
        <v>68.65751399999999</v>
      </c>
      <c r="N135" s="63">
        <v>68.904476</v>
      </c>
      <c r="O135" s="63">
        <v>71.869724</v>
      </c>
      <c r="P135" s="86"/>
      <c r="Q135" s="103">
        <v>75.4044691902555</v>
      </c>
      <c r="R135" s="103">
        <v>64.8530599887481</v>
      </c>
      <c r="S135" s="103">
        <v>84.8659400893158</v>
      </c>
      <c r="T135" s="103">
        <v>46.3558657926864</v>
      </c>
      <c r="U135" s="103">
        <v>75.9015353745211</v>
      </c>
      <c r="V135" s="86"/>
      <c r="W135" s="158">
        <v>74.7037025574167</v>
      </c>
      <c r="X135" s="158">
        <v>64.1543504065475</v>
      </c>
      <c r="Y135" s="158">
        <v>83.4702241112665</v>
      </c>
      <c r="Z135" s="158">
        <v>43.9502851562998</v>
      </c>
      <c r="AA135" s="158">
        <v>78.4229190940003</v>
      </c>
      <c r="AB135" s="159"/>
      <c r="AC135" s="158">
        <v>73.8216642930296</v>
      </c>
      <c r="AD135" s="158">
        <v>64.4291576531024</v>
      </c>
      <c r="AE135" s="158">
        <v>83.4826766779058</v>
      </c>
      <c r="AF135" s="158">
        <v>44.3078880989368</v>
      </c>
      <c r="AG135" s="158">
        <v>82.3333031986314</v>
      </c>
      <c r="AH135" s="9"/>
      <c r="AI135" s="63">
        <v>74.5417005536277</v>
      </c>
      <c r="AJ135" s="63">
        <v>65.1507539853926</v>
      </c>
      <c r="AK135" s="63">
        <v>83.5291087943756</v>
      </c>
      <c r="AL135" s="63">
        <v>46.9451540351463</v>
      </c>
      <c r="AM135" s="63">
        <v>71.3300572315598</v>
      </c>
      <c r="AN135" s="9"/>
      <c r="AO135" s="50">
        <v>75.84471</v>
      </c>
      <c r="AP135" s="50">
        <v>63.86165</v>
      </c>
      <c r="AQ135" s="50">
        <v>83.9433</v>
      </c>
      <c r="AR135" s="50">
        <v>47.92802</v>
      </c>
      <c r="AS135" s="50">
        <v>73.62183</v>
      </c>
      <c r="AU135" s="50">
        <v>74.59425</v>
      </c>
      <c r="AV135" s="50">
        <v>63.27602</v>
      </c>
      <c r="AW135" s="50">
        <v>81.59517</v>
      </c>
      <c r="AX135" s="50">
        <v>44.61934</v>
      </c>
      <c r="AY135" s="50">
        <v>74.03474</v>
      </c>
      <c r="BA135" s="50">
        <v>75.00803</v>
      </c>
      <c r="BB135" s="50">
        <v>65.05445</v>
      </c>
      <c r="BC135" s="50">
        <v>84.61733</v>
      </c>
      <c r="BD135" s="50">
        <v>43.36403</v>
      </c>
      <c r="BE135" s="50">
        <v>75.24373</v>
      </c>
      <c r="BG135" s="50">
        <v>76.14377</v>
      </c>
      <c r="BH135" s="50">
        <v>62.87588</v>
      </c>
      <c r="BI135" s="50">
        <v>83.95382</v>
      </c>
      <c r="BJ135" s="50">
        <v>44.40288</v>
      </c>
      <c r="BK135" s="50">
        <v>77.14603</v>
      </c>
      <c r="BM135" s="50">
        <v>75.37785</v>
      </c>
      <c r="BN135" s="50">
        <v>67.32133</v>
      </c>
      <c r="BO135" s="50">
        <v>82.35334</v>
      </c>
      <c r="BP135" s="50">
        <v>49.86894</v>
      </c>
      <c r="BQ135" s="50">
        <v>84.42716</v>
      </c>
    </row>
    <row r="136" spans="1:69" ht="12.75">
      <c r="A136" s="2">
        <f>VLOOKUP(E136,'SHA cluster table data'!B128:C303,2,FALSE)</f>
        <v>125</v>
      </c>
      <c r="B136" s="2">
        <v>133</v>
      </c>
      <c r="C136" s="42" t="str">
        <f>VLOOKUP(E136,'SHA cluster table data'!$B$4:$G$171,6,FALSE)</f>
        <v>Q36</v>
      </c>
      <c r="D136" s="42" t="s">
        <v>126</v>
      </c>
      <c r="E136" s="71" t="s">
        <v>267</v>
      </c>
      <c r="F136" s="71">
        <v>133</v>
      </c>
      <c r="G136" s="104">
        <v>64.9821768168474</v>
      </c>
      <c r="H136" s="154">
        <f t="shared" si="4"/>
        <v>62.925858830069956</v>
      </c>
      <c r="I136" s="155">
        <f t="shared" si="5"/>
        <v>60.302857916134386</v>
      </c>
      <c r="J136" s="63">
        <v>64.96466575544939</v>
      </c>
      <c r="K136" s="63">
        <v>61.70943400000001</v>
      </c>
      <c r="L136" s="63">
        <v>60.420376</v>
      </c>
      <c r="M136" s="63">
        <v>60.45900400000001</v>
      </c>
      <c r="N136" s="63">
        <v>63.121448</v>
      </c>
      <c r="O136" s="63">
        <v>61.684662</v>
      </c>
      <c r="P136" s="86"/>
      <c r="Q136" s="103">
        <v>70.9811154084055</v>
      </c>
      <c r="R136" s="103">
        <v>49.338787237936</v>
      </c>
      <c r="S136" s="103">
        <v>80.4839233016088</v>
      </c>
      <c r="T136" s="103">
        <v>50.39307433857</v>
      </c>
      <c r="U136" s="103">
        <v>73.7139837977169</v>
      </c>
      <c r="V136" s="86"/>
      <c r="W136" s="158">
        <v>66.9015911611745</v>
      </c>
      <c r="X136" s="158">
        <v>50.787843723433</v>
      </c>
      <c r="Y136" s="158">
        <v>80.062458228071</v>
      </c>
      <c r="Z136" s="158">
        <v>42.3586253597604</v>
      </c>
      <c r="AA136" s="158">
        <v>74.5187756779109</v>
      </c>
      <c r="AB136" s="159"/>
      <c r="AC136" s="158">
        <v>65.6714131788034</v>
      </c>
      <c r="AD136" s="158">
        <v>47.7891700642008</v>
      </c>
      <c r="AE136" s="158">
        <v>76.6784431093338</v>
      </c>
      <c r="AF136" s="158">
        <v>38.8342536786989</v>
      </c>
      <c r="AG136" s="158">
        <v>72.541009549635</v>
      </c>
      <c r="AH136" s="9"/>
      <c r="AI136" s="63">
        <v>71.814286471439</v>
      </c>
      <c r="AJ136" s="63">
        <v>57.2888372703699</v>
      </c>
      <c r="AK136" s="63">
        <v>82.7978533104595</v>
      </c>
      <c r="AL136" s="63">
        <v>40.4145219981321</v>
      </c>
      <c r="AM136" s="63">
        <v>72.5078297268465</v>
      </c>
      <c r="AN136" s="9"/>
      <c r="AO136" s="50">
        <v>67.26933</v>
      </c>
      <c r="AP136" s="50">
        <v>51.28971</v>
      </c>
      <c r="AQ136" s="50">
        <v>79.95289</v>
      </c>
      <c r="AR136" s="50">
        <v>42.97272</v>
      </c>
      <c r="AS136" s="50">
        <v>67.06252</v>
      </c>
      <c r="AU136" s="50">
        <v>65.66888</v>
      </c>
      <c r="AV136" s="50">
        <v>54.52397</v>
      </c>
      <c r="AW136" s="50">
        <v>78.85789</v>
      </c>
      <c r="AX136" s="50">
        <v>35.38438</v>
      </c>
      <c r="AY136" s="50">
        <v>67.66676</v>
      </c>
      <c r="BA136" s="50">
        <v>65.63029</v>
      </c>
      <c r="BB136" s="50">
        <v>52.27274</v>
      </c>
      <c r="BC136" s="50">
        <v>78.01048</v>
      </c>
      <c r="BD136" s="50">
        <v>38.51699</v>
      </c>
      <c r="BE136" s="50">
        <v>67.86452</v>
      </c>
      <c r="BG136" s="50">
        <v>67.0265</v>
      </c>
      <c r="BH136" s="50">
        <v>56.84389</v>
      </c>
      <c r="BI136" s="50">
        <v>79.55356</v>
      </c>
      <c r="BJ136" s="50">
        <v>43.80714</v>
      </c>
      <c r="BK136" s="50">
        <v>68.37615</v>
      </c>
      <c r="BM136" s="50">
        <v>64.73659</v>
      </c>
      <c r="BN136" s="50">
        <v>56.168</v>
      </c>
      <c r="BO136" s="50">
        <v>77.08127</v>
      </c>
      <c r="BP136" s="50">
        <v>38.72231</v>
      </c>
      <c r="BQ136" s="50">
        <v>71.71514</v>
      </c>
    </row>
    <row r="137" spans="1:69" ht="12.75">
      <c r="A137" s="2">
        <f>VLOOKUP(E137,'SHA cluster table data'!B129:C304,2,FALSE)</f>
        <v>126</v>
      </c>
      <c r="B137" s="2">
        <v>134</v>
      </c>
      <c r="C137" s="42" t="str">
        <f>VLOOKUP(E137,'SHA cluster table data'!$B$4:$G$171,6,FALSE)</f>
        <v>Q36</v>
      </c>
      <c r="D137" s="42" t="s">
        <v>131</v>
      </c>
      <c r="E137" s="71" t="s">
        <v>273</v>
      </c>
      <c r="F137" s="71">
        <v>134</v>
      </c>
      <c r="G137" s="104">
        <v>62.2137696383396</v>
      </c>
      <c r="H137" s="154">
        <f t="shared" si="4"/>
        <v>63.870659002838046</v>
      </c>
      <c r="I137" s="155">
        <f t="shared" si="5"/>
        <v>60.20611446298297</v>
      </c>
      <c r="J137" s="63">
        <v>61.305498713737094</v>
      </c>
      <c r="K137" s="63">
        <v>62.87030600000001</v>
      </c>
      <c r="L137" s="63">
        <v>59.09403</v>
      </c>
      <c r="M137" s="63">
        <v>60.039984000000004</v>
      </c>
      <c r="N137" s="63">
        <v>60.341076</v>
      </c>
      <c r="O137" s="63">
        <v>63.750052000000004</v>
      </c>
      <c r="P137" s="86"/>
      <c r="Q137" s="103">
        <v>64.8393152158798</v>
      </c>
      <c r="R137" s="103">
        <v>46.2874130723682</v>
      </c>
      <c r="S137" s="103">
        <v>85.9744372742703</v>
      </c>
      <c r="T137" s="103">
        <v>45.2380533567892</v>
      </c>
      <c r="U137" s="103">
        <v>68.7296292723904</v>
      </c>
      <c r="V137" s="86"/>
      <c r="W137" s="158">
        <v>66.9234400695304</v>
      </c>
      <c r="X137" s="158">
        <v>51.6536395681069</v>
      </c>
      <c r="Y137" s="158">
        <v>79.0981550708433</v>
      </c>
      <c r="Z137" s="158">
        <v>49.2615088868013</v>
      </c>
      <c r="AA137" s="158">
        <v>72.4165514189083</v>
      </c>
      <c r="AB137" s="159"/>
      <c r="AC137" s="158">
        <v>65.159044253056</v>
      </c>
      <c r="AD137" s="158">
        <v>47.9419235807036</v>
      </c>
      <c r="AE137" s="158">
        <v>80.7083965955916</v>
      </c>
      <c r="AF137" s="158">
        <v>41.7532526885815</v>
      </c>
      <c r="AG137" s="158">
        <v>65.4679551969821</v>
      </c>
      <c r="AH137" s="9"/>
      <c r="AI137" s="63">
        <v>69.5131504512981</v>
      </c>
      <c r="AJ137" s="63">
        <v>53.5711335373515</v>
      </c>
      <c r="AK137" s="63">
        <v>81.3869071302062</v>
      </c>
      <c r="AL137" s="63">
        <v>37.0587076878575</v>
      </c>
      <c r="AM137" s="63">
        <v>64.9975947619722</v>
      </c>
      <c r="AN137" s="9"/>
      <c r="AO137" s="50">
        <v>67.75214</v>
      </c>
      <c r="AP137" s="50">
        <v>56.26263</v>
      </c>
      <c r="AQ137" s="50">
        <v>82.77251</v>
      </c>
      <c r="AR137" s="50">
        <v>43.12686</v>
      </c>
      <c r="AS137" s="50">
        <v>64.43739</v>
      </c>
      <c r="AU137" s="50">
        <v>62.51651</v>
      </c>
      <c r="AV137" s="50">
        <v>50.59264</v>
      </c>
      <c r="AW137" s="50">
        <v>81.84564</v>
      </c>
      <c r="AX137" s="50">
        <v>36.37331</v>
      </c>
      <c r="AY137" s="50">
        <v>64.14205</v>
      </c>
      <c r="BA137" s="50">
        <v>62.83474</v>
      </c>
      <c r="BB137" s="50">
        <v>53.20864</v>
      </c>
      <c r="BC137" s="50">
        <v>76.94948</v>
      </c>
      <c r="BD137" s="50">
        <v>42.05495</v>
      </c>
      <c r="BE137" s="50">
        <v>65.15211</v>
      </c>
      <c r="BG137" s="50">
        <v>65.32726</v>
      </c>
      <c r="BH137" s="50">
        <v>48.35095</v>
      </c>
      <c r="BI137" s="50">
        <v>79.10901</v>
      </c>
      <c r="BJ137" s="50">
        <v>44.24093</v>
      </c>
      <c r="BK137" s="50">
        <v>64.67723</v>
      </c>
      <c r="BM137" s="50">
        <v>64.88695</v>
      </c>
      <c r="BN137" s="50">
        <v>57.96344</v>
      </c>
      <c r="BO137" s="50">
        <v>83.01517</v>
      </c>
      <c r="BP137" s="50">
        <v>43.22171</v>
      </c>
      <c r="BQ137" s="50">
        <v>69.66299</v>
      </c>
    </row>
    <row r="138" spans="1:69" ht="12.75">
      <c r="A138" s="2">
        <f>VLOOKUP(E138,'SHA cluster table data'!B130:C305,2,FALSE)</f>
        <v>127</v>
      </c>
      <c r="B138" s="2">
        <v>135</v>
      </c>
      <c r="C138" s="42" t="str">
        <f>VLOOKUP(E138,'SHA cluster table data'!$B$4:$G$171,6,FALSE)</f>
        <v>Q31</v>
      </c>
      <c r="D138" s="42" t="s">
        <v>6</v>
      </c>
      <c r="E138" s="71" t="s">
        <v>361</v>
      </c>
      <c r="F138" s="71">
        <v>135</v>
      </c>
      <c r="G138" s="104">
        <v>64.1775261961956</v>
      </c>
      <c r="H138" s="154">
        <f t="shared" si="4"/>
        <v>64.94293104898831</v>
      </c>
      <c r="I138" s="155">
        <f t="shared" si="5"/>
        <v>63.777889611517274</v>
      </c>
      <c r="J138" s="63">
        <v>63.83879314109898</v>
      </c>
      <c r="K138" s="63">
        <v>69.365906</v>
      </c>
      <c r="L138" s="63">
        <v>63.683402</v>
      </c>
      <c r="M138" s="63">
        <v>64.970232</v>
      </c>
      <c r="N138" s="63">
        <v>69.27283200000002</v>
      </c>
      <c r="O138" s="63">
        <v>64.89489</v>
      </c>
      <c r="P138" s="86"/>
      <c r="Q138" s="103">
        <v>71.2686680987609</v>
      </c>
      <c r="R138" s="103">
        <v>53.1246329684135</v>
      </c>
      <c r="S138" s="103">
        <v>79.5595810766037</v>
      </c>
      <c r="T138" s="103">
        <v>44.2120634807325</v>
      </c>
      <c r="U138" s="103">
        <v>72.7226853564674</v>
      </c>
      <c r="V138" s="86"/>
      <c r="W138" s="158">
        <v>69.1247888078481</v>
      </c>
      <c r="X138" s="158">
        <v>62.4204492138099</v>
      </c>
      <c r="Y138" s="158">
        <v>78.3660560795918</v>
      </c>
      <c r="Z138" s="158">
        <v>41.9611594080279</v>
      </c>
      <c r="AA138" s="158">
        <v>72.8422017356639</v>
      </c>
      <c r="AB138" s="159"/>
      <c r="AC138" s="158">
        <v>68.5521750934299</v>
      </c>
      <c r="AD138" s="158">
        <v>58.9161308593872</v>
      </c>
      <c r="AE138" s="158">
        <v>78.9125165900926</v>
      </c>
      <c r="AF138" s="158">
        <v>40.6246418330707</v>
      </c>
      <c r="AG138" s="158">
        <v>71.883983681606</v>
      </c>
      <c r="AH138" s="9"/>
      <c r="AI138" s="63">
        <v>68.3787100917585</v>
      </c>
      <c r="AJ138" s="63">
        <v>62.6963113808147</v>
      </c>
      <c r="AK138" s="63">
        <v>77.3207558869155</v>
      </c>
      <c r="AL138" s="63">
        <v>39.5071747330449</v>
      </c>
      <c r="AM138" s="63">
        <v>71.2910136129613</v>
      </c>
      <c r="AN138" s="9"/>
      <c r="AO138" s="50">
        <v>71.93071</v>
      </c>
      <c r="AP138" s="50">
        <v>63.18954</v>
      </c>
      <c r="AQ138" s="50">
        <v>78.03001</v>
      </c>
      <c r="AR138" s="50">
        <v>53.05856</v>
      </c>
      <c r="AS138" s="50">
        <v>80.62071</v>
      </c>
      <c r="AU138" s="50">
        <v>68.42556</v>
      </c>
      <c r="AV138" s="50">
        <v>58.75429</v>
      </c>
      <c r="AW138" s="50">
        <v>75.25645</v>
      </c>
      <c r="AX138" s="50">
        <v>45.45895</v>
      </c>
      <c r="AY138" s="50">
        <v>70.52176</v>
      </c>
      <c r="BA138" s="50">
        <v>68.18974</v>
      </c>
      <c r="BB138" s="50">
        <v>57.87418</v>
      </c>
      <c r="BC138" s="50">
        <v>75.69719</v>
      </c>
      <c r="BD138" s="50">
        <v>49.01991</v>
      </c>
      <c r="BE138" s="50">
        <v>74.07014</v>
      </c>
      <c r="BG138" s="50">
        <v>72.71523</v>
      </c>
      <c r="BH138" s="50">
        <v>65.36854</v>
      </c>
      <c r="BI138" s="50">
        <v>82.10097</v>
      </c>
      <c r="BJ138" s="50">
        <v>47.31794</v>
      </c>
      <c r="BK138" s="50">
        <v>78.86148</v>
      </c>
      <c r="BM138" s="50">
        <v>68.88554</v>
      </c>
      <c r="BN138" s="50">
        <v>61.80589</v>
      </c>
      <c r="BO138" s="50">
        <v>77.65965</v>
      </c>
      <c r="BP138" s="50">
        <v>41.42094</v>
      </c>
      <c r="BQ138" s="50">
        <v>74.70243</v>
      </c>
    </row>
    <row r="139" spans="1:69" ht="12.75">
      <c r="A139" s="2">
        <f>VLOOKUP(E139,'SHA cluster table data'!B131:C306,2,FALSE)</f>
        <v>128</v>
      </c>
      <c r="B139" s="1">
        <v>136</v>
      </c>
      <c r="C139" s="42" t="str">
        <f>VLOOKUP(E139,'SHA cluster table data'!$B$4:$G$171,6,FALSE)</f>
        <v>Q31</v>
      </c>
      <c r="D139" s="42" t="s">
        <v>24</v>
      </c>
      <c r="E139" s="71" t="s">
        <v>278</v>
      </c>
      <c r="F139" s="71">
        <v>136</v>
      </c>
      <c r="G139" s="104">
        <v>74.2258946611975</v>
      </c>
      <c r="H139" s="154">
        <f t="shared" si="4"/>
        <v>72.15761219912471</v>
      </c>
      <c r="I139" s="155">
        <f t="shared" si="5"/>
        <v>70.51059032753628</v>
      </c>
      <c r="J139" s="63">
        <v>70.77152526194436</v>
      </c>
      <c r="K139" s="63">
        <v>72.59571600000001</v>
      </c>
      <c r="L139" s="63">
        <v>70.06012799999999</v>
      </c>
      <c r="M139" s="63">
        <v>72.53341200000001</v>
      </c>
      <c r="N139" s="63">
        <v>73.413278</v>
      </c>
      <c r="O139" s="63">
        <v>80.584922</v>
      </c>
      <c r="P139" s="86"/>
      <c r="Q139" s="103">
        <v>77.7150406151079</v>
      </c>
      <c r="R139" s="103">
        <v>65.5525224152716</v>
      </c>
      <c r="S139" s="103">
        <v>83.4919558963894</v>
      </c>
      <c r="T139" s="103">
        <v>55.1740382211442</v>
      </c>
      <c r="U139" s="103">
        <v>89.1959161580744</v>
      </c>
      <c r="V139" s="86"/>
      <c r="W139" s="158">
        <v>74.9322908330268</v>
      </c>
      <c r="X139" s="158">
        <v>65.5799425476665</v>
      </c>
      <c r="Y139" s="158">
        <v>85.330317350196</v>
      </c>
      <c r="Z139" s="158">
        <v>51.8064091856485</v>
      </c>
      <c r="AA139" s="158">
        <v>83.1391010790857</v>
      </c>
      <c r="AB139" s="159"/>
      <c r="AC139" s="158">
        <v>73.9880256872937</v>
      </c>
      <c r="AD139" s="158">
        <v>65.5548436731994</v>
      </c>
      <c r="AE139" s="158">
        <v>79.9826465267415</v>
      </c>
      <c r="AF139" s="158">
        <v>52.3168355046264</v>
      </c>
      <c r="AG139" s="158">
        <v>80.7106002458204</v>
      </c>
      <c r="AH139" s="9"/>
      <c r="AI139" s="63">
        <v>77.4331066766018</v>
      </c>
      <c r="AJ139" s="63">
        <v>60.011906924482</v>
      </c>
      <c r="AK139" s="63">
        <v>80.9883062063745</v>
      </c>
      <c r="AL139" s="63">
        <v>53.19191736095</v>
      </c>
      <c r="AM139" s="63">
        <v>82.2323891413135</v>
      </c>
      <c r="AN139" s="9"/>
      <c r="AO139" s="50">
        <v>75.99988</v>
      </c>
      <c r="AP139" s="50">
        <v>67.47096</v>
      </c>
      <c r="AQ139" s="50">
        <v>82.01473</v>
      </c>
      <c r="AR139" s="50">
        <v>54.80556</v>
      </c>
      <c r="AS139" s="50">
        <v>82.68745</v>
      </c>
      <c r="AU139" s="50">
        <v>72.26109</v>
      </c>
      <c r="AV139" s="50">
        <v>65.29378</v>
      </c>
      <c r="AW139" s="50">
        <v>81.57861</v>
      </c>
      <c r="AX139" s="50">
        <v>50.78359</v>
      </c>
      <c r="AY139" s="50">
        <v>80.38357</v>
      </c>
      <c r="BA139" s="50">
        <v>78.60406</v>
      </c>
      <c r="BB139" s="50">
        <v>68.08235</v>
      </c>
      <c r="BC139" s="50">
        <v>85.66554</v>
      </c>
      <c r="BD139" s="50">
        <v>49.3005</v>
      </c>
      <c r="BE139" s="50">
        <v>81.01461</v>
      </c>
      <c r="BG139" s="50">
        <v>76.17734</v>
      </c>
      <c r="BH139" s="50">
        <v>68.27317</v>
      </c>
      <c r="BI139" s="50">
        <v>84.19793</v>
      </c>
      <c r="BJ139" s="50">
        <v>55.09501</v>
      </c>
      <c r="BK139" s="50">
        <v>83.32294</v>
      </c>
      <c r="BM139" s="50">
        <v>82.28299</v>
      </c>
      <c r="BN139" s="50">
        <v>78.52253</v>
      </c>
      <c r="BO139" s="50">
        <v>86.14397</v>
      </c>
      <c r="BP139" s="50">
        <v>69.00208</v>
      </c>
      <c r="BQ139" s="50">
        <v>86.97304</v>
      </c>
    </row>
    <row r="140" spans="1:69" ht="12.75">
      <c r="A140" s="2">
        <f>VLOOKUP(E140,'SHA cluster table data'!B132:C307,2,FALSE)</f>
        <v>129</v>
      </c>
      <c r="B140" s="2">
        <v>137</v>
      </c>
      <c r="C140" s="42" t="str">
        <f>VLOOKUP(E140,'SHA cluster table data'!$B$4:$G$171,6,FALSE)</f>
        <v>Q34</v>
      </c>
      <c r="D140" s="42" t="s">
        <v>143</v>
      </c>
      <c r="E140" s="71" t="s">
        <v>290</v>
      </c>
      <c r="F140" s="71">
        <v>137</v>
      </c>
      <c r="G140" s="104">
        <v>62.4312154751454</v>
      </c>
      <c r="H140" s="154">
        <f t="shared" si="4"/>
        <v>60.3158355061265</v>
      </c>
      <c r="I140" s="155">
        <f t="shared" si="5"/>
        <v>64.53254082617937</v>
      </c>
      <c r="J140" s="63">
        <v>63.91309862734788</v>
      </c>
      <c r="K140" s="63">
        <v>62.06837800000001</v>
      </c>
      <c r="L140" s="63">
        <v>62.063076</v>
      </c>
      <c r="M140" s="63">
        <v>64.22311199999999</v>
      </c>
      <c r="N140" s="63">
        <v>63.126048000000004</v>
      </c>
      <c r="O140" s="63">
        <v>61.162257999999994</v>
      </c>
      <c r="P140" s="86"/>
      <c r="Q140" s="103">
        <v>68.928932328552</v>
      </c>
      <c r="R140" s="103">
        <v>50.9436761672364</v>
      </c>
      <c r="S140" s="103">
        <v>81.4156810816816</v>
      </c>
      <c r="T140" s="103">
        <v>42.156198690992</v>
      </c>
      <c r="U140" s="103">
        <v>68.711589107265</v>
      </c>
      <c r="V140" s="86"/>
      <c r="W140" s="158">
        <v>64.1502360151765</v>
      </c>
      <c r="X140" s="158">
        <v>49.3786076275951</v>
      </c>
      <c r="Y140" s="158">
        <v>80.0116424328172</v>
      </c>
      <c r="Z140" s="158">
        <v>40.1908203301355</v>
      </c>
      <c r="AA140" s="158">
        <v>67.8478711249082</v>
      </c>
      <c r="AB140" s="159"/>
      <c r="AC140" s="158">
        <v>67.2323470749175</v>
      </c>
      <c r="AD140" s="158">
        <v>60.0882448098148</v>
      </c>
      <c r="AE140" s="158">
        <v>84.9126691268866</v>
      </c>
      <c r="AF140" s="158">
        <v>38.7210227973954</v>
      </c>
      <c r="AG140" s="158">
        <v>71.7084203218826</v>
      </c>
      <c r="AH140" s="9"/>
      <c r="AI140" s="63">
        <v>68.4932502651212</v>
      </c>
      <c r="AJ140" s="63">
        <v>52.5883372469112</v>
      </c>
      <c r="AK140" s="63">
        <v>79.4091455379231</v>
      </c>
      <c r="AL140" s="63">
        <v>46.7303632948233</v>
      </c>
      <c r="AM140" s="63">
        <v>72.3443967919606</v>
      </c>
      <c r="AN140" s="9"/>
      <c r="AO140" s="50">
        <v>64.69903</v>
      </c>
      <c r="AP140" s="50">
        <v>53.9565</v>
      </c>
      <c r="AQ140" s="50">
        <v>79.7107</v>
      </c>
      <c r="AR140" s="50">
        <v>39.66887</v>
      </c>
      <c r="AS140" s="50">
        <v>72.30679</v>
      </c>
      <c r="AU140" s="50">
        <v>64.16799</v>
      </c>
      <c r="AV140" s="50">
        <v>52.59385</v>
      </c>
      <c r="AW140" s="50">
        <v>80.68333</v>
      </c>
      <c r="AX140" s="50">
        <v>42.08846</v>
      </c>
      <c r="AY140" s="50">
        <v>70.78175</v>
      </c>
      <c r="BA140" s="50">
        <v>69.09052</v>
      </c>
      <c r="BB140" s="50">
        <v>51.97438</v>
      </c>
      <c r="BC140" s="50">
        <v>78.65325</v>
      </c>
      <c r="BD140" s="50">
        <v>47.12877</v>
      </c>
      <c r="BE140" s="50">
        <v>74.26864</v>
      </c>
      <c r="BG140" s="50">
        <v>65.62873</v>
      </c>
      <c r="BH140" s="50">
        <v>55.12206</v>
      </c>
      <c r="BI140" s="50">
        <v>82.82436</v>
      </c>
      <c r="BJ140" s="50">
        <v>45.1223</v>
      </c>
      <c r="BK140" s="50">
        <v>66.93279</v>
      </c>
      <c r="BM140" s="50">
        <v>65.56436</v>
      </c>
      <c r="BN140" s="50">
        <v>57.79761</v>
      </c>
      <c r="BO140" s="50">
        <v>76.88724</v>
      </c>
      <c r="BP140" s="50">
        <v>38.70758</v>
      </c>
      <c r="BQ140" s="50">
        <v>66.8545</v>
      </c>
    </row>
    <row r="141" spans="1:69" ht="12.75">
      <c r="A141" s="2">
        <f>VLOOKUP(E141,'SHA cluster table data'!B133:C308,2,FALSE)</f>
        <v>130</v>
      </c>
      <c r="B141" s="2">
        <v>138</v>
      </c>
      <c r="C141" s="42" t="str">
        <f>VLOOKUP(E141,'SHA cluster table data'!$B$4:$G$171,6,FALSE)</f>
        <v>Q34</v>
      </c>
      <c r="D141" s="42" t="s">
        <v>22</v>
      </c>
      <c r="E141" s="71" t="s">
        <v>272</v>
      </c>
      <c r="F141" s="71">
        <v>138</v>
      </c>
      <c r="G141" s="104">
        <v>63.3102950611112</v>
      </c>
      <c r="H141" s="154">
        <f t="shared" si="4"/>
        <v>60.12565200728145</v>
      </c>
      <c r="I141" s="155">
        <f t="shared" si="5"/>
        <v>63.950814372744176</v>
      </c>
      <c r="J141" s="63">
        <v>66.88502853023155</v>
      </c>
      <c r="K141" s="63">
        <v>63.36464599999999</v>
      </c>
      <c r="L141" s="63">
        <v>62.354452</v>
      </c>
      <c r="M141" s="63">
        <v>65.01836399999999</v>
      </c>
      <c r="N141" s="63">
        <v>65.418034</v>
      </c>
      <c r="O141" s="63">
        <v>67.61083599999999</v>
      </c>
      <c r="P141" s="86"/>
      <c r="Q141" s="103">
        <v>71.636194253321</v>
      </c>
      <c r="R141" s="103">
        <v>52.5006285619016</v>
      </c>
      <c r="S141" s="103">
        <v>84.5905208616827</v>
      </c>
      <c r="T141" s="103">
        <v>41.3145097078286</v>
      </c>
      <c r="U141" s="103">
        <v>66.509621920822</v>
      </c>
      <c r="V141" s="86"/>
      <c r="W141" s="158">
        <v>65.9559286989548</v>
      </c>
      <c r="X141" s="158">
        <v>47.5279636661646</v>
      </c>
      <c r="Y141" s="158">
        <v>78.0029960779225</v>
      </c>
      <c r="Z141" s="158">
        <v>38.5692037083849</v>
      </c>
      <c r="AA141" s="158">
        <v>70.5721678849805</v>
      </c>
      <c r="AB141" s="159"/>
      <c r="AC141" s="158">
        <v>69.191215207275</v>
      </c>
      <c r="AD141" s="158">
        <v>52.3747548647961</v>
      </c>
      <c r="AE141" s="158">
        <v>81.5505056338784</v>
      </c>
      <c r="AF141" s="158">
        <v>45.5715800493863</v>
      </c>
      <c r="AG141" s="158">
        <v>71.0660161083851</v>
      </c>
      <c r="AH141" s="9"/>
      <c r="AI141" s="63">
        <v>71.1511051447284</v>
      </c>
      <c r="AJ141" s="63">
        <v>61.9225659001967</v>
      </c>
      <c r="AK141" s="63">
        <v>82.2992300835188</v>
      </c>
      <c r="AL141" s="63">
        <v>48.6660556121282</v>
      </c>
      <c r="AM141" s="63">
        <v>70.3861859105856</v>
      </c>
      <c r="AN141" s="9"/>
      <c r="AO141" s="50">
        <v>69.62737</v>
      </c>
      <c r="AP141" s="50">
        <v>52.9883</v>
      </c>
      <c r="AQ141" s="50">
        <v>81.18438</v>
      </c>
      <c r="AR141" s="50">
        <v>40.27155</v>
      </c>
      <c r="AS141" s="50">
        <v>72.75163</v>
      </c>
      <c r="AU141" s="50">
        <v>67.91892</v>
      </c>
      <c r="AV141" s="50">
        <v>52.46239</v>
      </c>
      <c r="AW141" s="50">
        <v>79.64507</v>
      </c>
      <c r="AX141" s="50">
        <v>38.22858</v>
      </c>
      <c r="AY141" s="50">
        <v>73.5173</v>
      </c>
      <c r="BA141" s="50">
        <v>70.77834</v>
      </c>
      <c r="BB141" s="50">
        <v>59.57774</v>
      </c>
      <c r="BC141" s="50">
        <v>80.79469</v>
      </c>
      <c r="BD141" s="50">
        <v>39.80364</v>
      </c>
      <c r="BE141" s="50">
        <v>74.13741</v>
      </c>
      <c r="BG141" s="50">
        <v>71.63622</v>
      </c>
      <c r="BH141" s="50">
        <v>56.3264</v>
      </c>
      <c r="BI141" s="50">
        <v>82.33009</v>
      </c>
      <c r="BJ141" s="50">
        <v>43.48353</v>
      </c>
      <c r="BK141" s="50">
        <v>73.31393</v>
      </c>
      <c r="BM141" s="50">
        <v>71.16586</v>
      </c>
      <c r="BN141" s="50">
        <v>62.04086</v>
      </c>
      <c r="BO141" s="50">
        <v>80.50976</v>
      </c>
      <c r="BP141" s="50">
        <v>52.33063</v>
      </c>
      <c r="BQ141" s="50">
        <v>72.00707</v>
      </c>
    </row>
    <row r="142" spans="1:69" ht="12.75">
      <c r="A142" s="2">
        <f>VLOOKUP(E142,'SHA cluster table data'!B134:C309,2,FALSE)</f>
        <v>131</v>
      </c>
      <c r="B142" s="2">
        <v>139</v>
      </c>
      <c r="C142" s="42" t="str">
        <f>VLOOKUP(E142,'SHA cluster table data'!$B$4:$G$171,6,FALSE)</f>
        <v>Q31</v>
      </c>
      <c r="D142" s="42" t="s">
        <v>235</v>
      </c>
      <c r="E142" s="71" t="s">
        <v>292</v>
      </c>
      <c r="F142" s="71">
        <v>139</v>
      </c>
      <c r="G142" s="104">
        <v>67.6129163666785</v>
      </c>
      <c r="H142" s="154">
        <f t="shared" si="4"/>
        <v>69.94852525961956</v>
      </c>
      <c r="I142" s="155">
        <f t="shared" si="5"/>
        <v>71.49105214557216</v>
      </c>
      <c r="J142" s="63">
        <v>68.00102703891851</v>
      </c>
      <c r="K142" s="63">
        <v>71.89109599999999</v>
      </c>
      <c r="L142" s="63">
        <v>68.866474</v>
      </c>
      <c r="M142" s="63">
        <v>67.59294</v>
      </c>
      <c r="N142" s="63">
        <v>69.69035799999999</v>
      </c>
      <c r="O142" s="63">
        <v>68.203922</v>
      </c>
      <c r="P142" s="86"/>
      <c r="Q142" s="103">
        <v>72.500229909854</v>
      </c>
      <c r="R142" s="103">
        <v>58.3656283264677</v>
      </c>
      <c r="S142" s="103">
        <v>80.1639453743783</v>
      </c>
      <c r="T142" s="103">
        <v>45.5268241229836</v>
      </c>
      <c r="U142" s="103">
        <v>81.507954099709</v>
      </c>
      <c r="V142" s="86"/>
      <c r="W142" s="158">
        <v>71.0852097819515</v>
      </c>
      <c r="X142" s="158">
        <v>62.6002648005588</v>
      </c>
      <c r="Y142" s="158">
        <v>83.0322725223622</v>
      </c>
      <c r="Z142" s="158">
        <v>49.995699020892</v>
      </c>
      <c r="AA142" s="158">
        <v>83.0291801723333</v>
      </c>
      <c r="AB142" s="159"/>
      <c r="AC142" s="158">
        <v>71.6630664121461</v>
      </c>
      <c r="AD142" s="158">
        <v>62.8963853623541</v>
      </c>
      <c r="AE142" s="158">
        <v>83.3316150099968</v>
      </c>
      <c r="AF142" s="158">
        <v>55.3929659727771</v>
      </c>
      <c r="AG142" s="158">
        <v>84.1712279705867</v>
      </c>
      <c r="AH142" s="9"/>
      <c r="AI142" s="63">
        <v>69.03125210075</v>
      </c>
      <c r="AJ142" s="63">
        <v>64.3828796548444</v>
      </c>
      <c r="AK142" s="63">
        <v>79.4837028071665</v>
      </c>
      <c r="AL142" s="63">
        <v>45.2892904547963</v>
      </c>
      <c r="AM142" s="63">
        <v>81.8180101770354</v>
      </c>
      <c r="AN142" s="9"/>
      <c r="AO142" s="50">
        <v>73.37868</v>
      </c>
      <c r="AP142" s="50">
        <v>65.06924</v>
      </c>
      <c r="AQ142" s="50">
        <v>82.28528</v>
      </c>
      <c r="AR142" s="50">
        <v>52.88764</v>
      </c>
      <c r="AS142" s="50">
        <v>85.83464</v>
      </c>
      <c r="AU142" s="50">
        <v>72.60394</v>
      </c>
      <c r="AV142" s="50">
        <v>61.31801</v>
      </c>
      <c r="AW142" s="50">
        <v>79.23607</v>
      </c>
      <c r="AX142" s="50">
        <v>46.73533</v>
      </c>
      <c r="AY142" s="50">
        <v>84.43902</v>
      </c>
      <c r="BA142" s="50">
        <v>70.22417</v>
      </c>
      <c r="BB142" s="50">
        <v>60.37803</v>
      </c>
      <c r="BC142" s="50">
        <v>81.73116</v>
      </c>
      <c r="BD142" s="50">
        <v>40.83057</v>
      </c>
      <c r="BE142" s="50">
        <v>84.80077</v>
      </c>
      <c r="BG142" s="50">
        <v>72.09585</v>
      </c>
      <c r="BH142" s="50">
        <v>63.4572</v>
      </c>
      <c r="BI142" s="50">
        <v>82.04845</v>
      </c>
      <c r="BJ142" s="50">
        <v>46.93165</v>
      </c>
      <c r="BK142" s="50">
        <v>83.91864</v>
      </c>
      <c r="BM142" s="50">
        <v>69.12015</v>
      </c>
      <c r="BN142" s="50">
        <v>61.8042</v>
      </c>
      <c r="BO142" s="50">
        <v>77.37614</v>
      </c>
      <c r="BP142" s="50">
        <v>47.47068</v>
      </c>
      <c r="BQ142" s="50">
        <v>85.24844</v>
      </c>
    </row>
    <row r="143" spans="1:69" ht="12.75">
      <c r="A143" s="2">
        <f>VLOOKUP(E143,'SHA cluster table data'!B135:C310,2,FALSE)</f>
        <v>132</v>
      </c>
      <c r="B143" s="1">
        <v>140</v>
      </c>
      <c r="C143" s="42" t="str">
        <f>VLOOKUP(E143,'SHA cluster table data'!$B$4:$G$171,6,FALSE)</f>
        <v>Q36</v>
      </c>
      <c r="D143" s="42" t="s">
        <v>63</v>
      </c>
      <c r="E143" s="71" t="s">
        <v>396</v>
      </c>
      <c r="F143" s="71">
        <v>140</v>
      </c>
      <c r="G143" s="104">
        <v>84.2154210970084</v>
      </c>
      <c r="H143" s="154">
        <f t="shared" si="4"/>
        <v>82.78193627632679</v>
      </c>
      <c r="I143" s="155">
        <f t="shared" si="5"/>
        <v>81.96900561710807</v>
      </c>
      <c r="J143" s="63">
        <v>81.31658675668321</v>
      </c>
      <c r="K143" s="63">
        <v>82.938472</v>
      </c>
      <c r="L143" s="63">
        <v>83.10082200000001</v>
      </c>
      <c r="M143" s="63">
        <v>84.035456</v>
      </c>
      <c r="N143" s="63">
        <v>82.571972</v>
      </c>
      <c r="O143" s="63">
        <v>83.260312</v>
      </c>
      <c r="P143" s="86"/>
      <c r="Q143" s="103">
        <v>86.8428825182314</v>
      </c>
      <c r="R143" s="103">
        <v>75.9940905460945</v>
      </c>
      <c r="S143" s="103">
        <v>92.245836128025</v>
      </c>
      <c r="T143" s="103">
        <v>72.9745848776795</v>
      </c>
      <c r="U143" s="103">
        <v>93.0197114150116</v>
      </c>
      <c r="V143" s="86"/>
      <c r="W143" s="158">
        <v>83.4192318212327</v>
      </c>
      <c r="X143" s="158">
        <v>75.6961394353146</v>
      </c>
      <c r="Y143" s="158">
        <v>91.60007495657</v>
      </c>
      <c r="Z143" s="158">
        <v>70.4077141749653</v>
      </c>
      <c r="AA143" s="158">
        <v>92.7865209935514</v>
      </c>
      <c r="AB143" s="159"/>
      <c r="AC143" s="158">
        <v>82.2558292496689</v>
      </c>
      <c r="AD143" s="158">
        <v>74.5909586174704</v>
      </c>
      <c r="AE143" s="158">
        <v>90.0376159195753</v>
      </c>
      <c r="AF143" s="158">
        <v>68.4210339395662</v>
      </c>
      <c r="AG143" s="158">
        <v>94.5395903592595</v>
      </c>
      <c r="AH143" s="9"/>
      <c r="AI143" s="63">
        <v>82.8503197706723</v>
      </c>
      <c r="AJ143" s="63">
        <v>71.979696399748</v>
      </c>
      <c r="AK143" s="63">
        <v>87.2524696176847</v>
      </c>
      <c r="AL143" s="63">
        <v>73.1402941548637</v>
      </c>
      <c r="AM143" s="63">
        <v>91.3601538404474</v>
      </c>
      <c r="AN143" s="9"/>
      <c r="AO143" s="50">
        <v>87.00433</v>
      </c>
      <c r="AP143" s="50">
        <v>74.99772</v>
      </c>
      <c r="AQ143" s="50">
        <v>90.17955</v>
      </c>
      <c r="AR143" s="50">
        <v>70.52404</v>
      </c>
      <c r="AS143" s="50">
        <v>91.98672</v>
      </c>
      <c r="AU143" s="50">
        <v>83.22955</v>
      </c>
      <c r="AV143" s="50">
        <v>77.27824</v>
      </c>
      <c r="AW143" s="50">
        <v>89.07626</v>
      </c>
      <c r="AX143" s="50">
        <v>72.38429</v>
      </c>
      <c r="AY143" s="50">
        <v>93.53577</v>
      </c>
      <c r="BA143" s="50">
        <v>84.97968</v>
      </c>
      <c r="BB143" s="50">
        <v>80.78268</v>
      </c>
      <c r="BC143" s="50">
        <v>91.94617</v>
      </c>
      <c r="BD143" s="50">
        <v>68.70801</v>
      </c>
      <c r="BE143" s="50">
        <v>93.76074</v>
      </c>
      <c r="BG143" s="50">
        <v>84.98196</v>
      </c>
      <c r="BH143" s="50">
        <v>77.11639</v>
      </c>
      <c r="BI143" s="50">
        <v>85.52715</v>
      </c>
      <c r="BJ143" s="50">
        <v>73.54272</v>
      </c>
      <c r="BK143" s="50">
        <v>91.69164</v>
      </c>
      <c r="BM143" s="50">
        <v>81.20998</v>
      </c>
      <c r="BN143" s="50">
        <v>80.33138</v>
      </c>
      <c r="BO143" s="50">
        <v>87.70123</v>
      </c>
      <c r="BP143" s="50">
        <v>72.22964</v>
      </c>
      <c r="BQ143" s="50">
        <v>94.82933</v>
      </c>
    </row>
    <row r="144" spans="1:69" ht="12.75">
      <c r="A144" s="2">
        <f>VLOOKUP(E144,'SHA cluster table data'!B136:C311,2,FALSE)</f>
        <v>133</v>
      </c>
      <c r="B144" s="2">
        <v>141</v>
      </c>
      <c r="C144" s="42" t="str">
        <f>VLOOKUP(E144,'SHA cluster table data'!$B$4:$G$171,6,FALSE)</f>
        <v>Q34</v>
      </c>
      <c r="D144" s="42" t="s">
        <v>0</v>
      </c>
      <c r="E144" s="71" t="s">
        <v>353</v>
      </c>
      <c r="F144" s="71">
        <v>141</v>
      </c>
      <c r="G144" s="104">
        <v>67.6375795502293</v>
      </c>
      <c r="H144" s="154">
        <f t="shared" si="4"/>
        <v>65.78946718407192</v>
      </c>
      <c r="I144" s="155">
        <f t="shared" si="5"/>
        <v>65.6991966533291</v>
      </c>
      <c r="J144" s="63">
        <v>63.911572247185006</v>
      </c>
      <c r="K144" s="63">
        <v>65.732738</v>
      </c>
      <c r="L144" s="63">
        <v>67.484438</v>
      </c>
      <c r="M144" s="63">
        <v>66.830084</v>
      </c>
      <c r="N144" s="63">
        <v>72.44181</v>
      </c>
      <c r="O144" s="63">
        <v>64.141704</v>
      </c>
      <c r="P144" s="86"/>
      <c r="Q144" s="103">
        <v>73.1017086208064</v>
      </c>
      <c r="R144" s="103">
        <v>54.7162655148957</v>
      </c>
      <c r="S144" s="103">
        <v>85.9532960184264</v>
      </c>
      <c r="T144" s="103">
        <v>46.1389465916158</v>
      </c>
      <c r="U144" s="103">
        <v>78.277681005402</v>
      </c>
      <c r="V144" s="86"/>
      <c r="W144" s="158">
        <v>69.823832292807</v>
      </c>
      <c r="X144" s="158">
        <v>60.8412514456314</v>
      </c>
      <c r="Y144" s="158">
        <v>81.4521772669034</v>
      </c>
      <c r="Z144" s="158">
        <v>40.7291703331915</v>
      </c>
      <c r="AA144" s="158">
        <v>76.1009045818263</v>
      </c>
      <c r="AB144" s="159"/>
      <c r="AC144" s="158">
        <v>71.2603976308775</v>
      </c>
      <c r="AD144" s="158">
        <v>61.3502280752507</v>
      </c>
      <c r="AE144" s="158">
        <v>83.2393829683624</v>
      </c>
      <c r="AF144" s="158">
        <v>39.335418072247</v>
      </c>
      <c r="AG144" s="158">
        <v>73.3105565199079</v>
      </c>
      <c r="AH144" s="9"/>
      <c r="AI144" s="63">
        <v>66.5775063928176</v>
      </c>
      <c r="AJ144" s="63">
        <v>59.9463535594303</v>
      </c>
      <c r="AK144" s="63">
        <v>78.6639777634017</v>
      </c>
      <c r="AL144" s="63">
        <v>37.5041604376955</v>
      </c>
      <c r="AM144" s="63">
        <v>76.8658630825799</v>
      </c>
      <c r="AN144" s="9"/>
      <c r="AO144" s="50">
        <v>69.8677</v>
      </c>
      <c r="AP144" s="50">
        <v>58.90286</v>
      </c>
      <c r="AQ144" s="50">
        <v>81.55161</v>
      </c>
      <c r="AR144" s="50">
        <v>43.341</v>
      </c>
      <c r="AS144" s="50">
        <v>75.00052</v>
      </c>
      <c r="AU144" s="50">
        <v>71.75052</v>
      </c>
      <c r="AV144" s="50">
        <v>60.59108</v>
      </c>
      <c r="AW144" s="50">
        <v>80.28449</v>
      </c>
      <c r="AX144" s="50">
        <v>47.56069</v>
      </c>
      <c r="AY144" s="50">
        <v>77.23541</v>
      </c>
      <c r="BA144" s="50">
        <v>72.16825</v>
      </c>
      <c r="BB144" s="50">
        <v>62.71344</v>
      </c>
      <c r="BC144" s="50">
        <v>81.61578</v>
      </c>
      <c r="BD144" s="50">
        <v>38.83223</v>
      </c>
      <c r="BE144" s="50">
        <v>78.82072</v>
      </c>
      <c r="BG144" s="50">
        <v>74.70875</v>
      </c>
      <c r="BH144" s="50">
        <v>67.0111</v>
      </c>
      <c r="BI144" s="50">
        <v>85.84309</v>
      </c>
      <c r="BJ144" s="50">
        <v>52.93797</v>
      </c>
      <c r="BK144" s="50">
        <v>81.70814</v>
      </c>
      <c r="BM144" s="50">
        <v>66.61064</v>
      </c>
      <c r="BN144" s="50">
        <v>59.90247</v>
      </c>
      <c r="BO144" s="50">
        <v>78.59454</v>
      </c>
      <c r="BP144" s="50">
        <v>42.15235</v>
      </c>
      <c r="BQ144" s="50">
        <v>73.44852</v>
      </c>
    </row>
    <row r="145" spans="1:69" ht="12.75">
      <c r="A145" s="2">
        <f>VLOOKUP(E145,'SHA cluster table data'!B137:C312,2,FALSE)</f>
        <v>134</v>
      </c>
      <c r="B145" s="2">
        <v>142</v>
      </c>
      <c r="C145" s="42" t="str">
        <f>VLOOKUP(E145,'SHA cluster table data'!$B$4:$G$171,6,FALSE)</f>
        <v>Q36</v>
      </c>
      <c r="D145" s="42" t="s">
        <v>207</v>
      </c>
      <c r="E145" s="71" t="s">
        <v>325</v>
      </c>
      <c r="F145" s="71">
        <v>142</v>
      </c>
      <c r="G145" s="104">
        <v>67.3965795075387</v>
      </c>
      <c r="H145" s="154">
        <f t="shared" si="4"/>
        <v>66.03864693777241</v>
      </c>
      <c r="I145" s="155">
        <f t="shared" si="5"/>
        <v>67.6644108404291</v>
      </c>
      <c r="J145" s="63">
        <v>68.47877391470236</v>
      </c>
      <c r="K145" s="63">
        <v>64.97613</v>
      </c>
      <c r="L145" s="63">
        <v>60.838379999999994</v>
      </c>
      <c r="M145" s="63">
        <v>63.004148</v>
      </c>
      <c r="N145" s="63">
        <v>65.910728</v>
      </c>
      <c r="O145" s="63">
        <v>62.879332</v>
      </c>
      <c r="P145" s="86"/>
      <c r="Q145" s="103">
        <v>72.4104423023341</v>
      </c>
      <c r="R145" s="103">
        <v>53.2607934713853</v>
      </c>
      <c r="S145" s="103">
        <v>85.4320746231464</v>
      </c>
      <c r="T145" s="103">
        <v>47.6266457638039</v>
      </c>
      <c r="U145" s="103">
        <v>78.2529413770238</v>
      </c>
      <c r="V145" s="86"/>
      <c r="W145" s="158">
        <v>69.369066866417</v>
      </c>
      <c r="X145" s="158">
        <v>56.6910769879615</v>
      </c>
      <c r="Y145" s="158">
        <v>81.6046286235243</v>
      </c>
      <c r="Z145" s="158">
        <v>50.63921091956</v>
      </c>
      <c r="AA145" s="158">
        <v>71.8892512913992</v>
      </c>
      <c r="AB145" s="159"/>
      <c r="AC145" s="158">
        <v>70.5557784740232</v>
      </c>
      <c r="AD145" s="158">
        <v>57.5466546365727</v>
      </c>
      <c r="AE145" s="158">
        <v>83.8431367558769</v>
      </c>
      <c r="AF145" s="158">
        <v>52.9855815776734</v>
      </c>
      <c r="AG145" s="158">
        <v>73.3909027579993</v>
      </c>
      <c r="AH145" s="9"/>
      <c r="AI145" s="63">
        <v>72.3929302993465</v>
      </c>
      <c r="AJ145" s="63">
        <v>59.0277858400634</v>
      </c>
      <c r="AK145" s="63">
        <v>84.5804692614947</v>
      </c>
      <c r="AL145" s="63">
        <v>53.6786749390122</v>
      </c>
      <c r="AM145" s="63">
        <v>72.714009233595</v>
      </c>
      <c r="AN145" s="9"/>
      <c r="AO145" s="50">
        <v>69.01878</v>
      </c>
      <c r="AP145" s="50">
        <v>56.16096</v>
      </c>
      <c r="AQ145" s="50">
        <v>83.18141</v>
      </c>
      <c r="AR145" s="50">
        <v>45.8594</v>
      </c>
      <c r="AS145" s="50">
        <v>70.6601</v>
      </c>
      <c r="AU145" s="50">
        <v>63.66671</v>
      </c>
      <c r="AV145" s="50">
        <v>48.37029</v>
      </c>
      <c r="AW145" s="50">
        <v>80.47048</v>
      </c>
      <c r="AX145" s="50">
        <v>45.3598</v>
      </c>
      <c r="AY145" s="50">
        <v>66.32462</v>
      </c>
      <c r="BA145" s="50">
        <v>66.02616</v>
      </c>
      <c r="BB145" s="50">
        <v>53.62693</v>
      </c>
      <c r="BC145" s="50">
        <v>80.57013</v>
      </c>
      <c r="BD145" s="50">
        <v>46.27054</v>
      </c>
      <c r="BE145" s="50">
        <v>68.52698</v>
      </c>
      <c r="BG145" s="50">
        <v>70.47105</v>
      </c>
      <c r="BH145" s="50">
        <v>58.00571</v>
      </c>
      <c r="BI145" s="50">
        <v>80.90602</v>
      </c>
      <c r="BJ145" s="50">
        <v>43.74617</v>
      </c>
      <c r="BK145" s="50">
        <v>76.42469</v>
      </c>
      <c r="BM145" s="50">
        <v>66.01731</v>
      </c>
      <c r="BN145" s="50">
        <v>53.10501</v>
      </c>
      <c r="BO145" s="50">
        <v>79.64605</v>
      </c>
      <c r="BP145" s="50">
        <v>47.07584</v>
      </c>
      <c r="BQ145" s="50">
        <v>68.55245</v>
      </c>
    </row>
    <row r="146" spans="1:71" ht="12.75">
      <c r="A146" s="2">
        <f>VLOOKUP(E146,'SHA cluster table data'!B138:C313,2,FALSE)</f>
      </c>
      <c r="B146" s="2">
        <v>143</v>
      </c>
      <c r="C146" s="42" t="str">
        <f>VLOOKUP(E146,'SHA cluster table data'!$B$4:$G$171,6,FALSE)</f>
        <v>Q31</v>
      </c>
      <c r="D146" s="213" t="s">
        <v>66</v>
      </c>
      <c r="E146" s="71" t="s">
        <v>399</v>
      </c>
      <c r="F146" s="71">
        <v>143</v>
      </c>
      <c r="G146" s="104" t="s">
        <v>426</v>
      </c>
      <c r="H146" s="154">
        <f t="shared" si="4"/>
        <v>65.74724939702853</v>
      </c>
      <c r="I146" s="155">
        <f t="shared" si="5"/>
        <v>66.56940771722346</v>
      </c>
      <c r="J146" s="63">
        <v>62.2302422726608</v>
      </c>
      <c r="K146" s="63">
        <v>63.871756000000005</v>
      </c>
      <c r="L146" s="63">
        <v>63.29375600000001</v>
      </c>
      <c r="M146" s="63">
        <v>58.143100000000004</v>
      </c>
      <c r="N146" s="63">
        <v>65.500568</v>
      </c>
      <c r="O146" s="63">
        <v>64.842594</v>
      </c>
      <c r="P146" s="86"/>
      <c r="Q146" s="103" t="s">
        <v>426</v>
      </c>
      <c r="R146" s="103" t="s">
        <v>426</v>
      </c>
      <c r="S146" s="103" t="s">
        <v>426</v>
      </c>
      <c r="T146" s="103" t="s">
        <v>426</v>
      </c>
      <c r="U146" s="103" t="s">
        <v>426</v>
      </c>
      <c r="V146" s="86"/>
      <c r="W146" s="158">
        <v>71.1944945415755</v>
      </c>
      <c r="X146" s="158">
        <v>57.218443967736</v>
      </c>
      <c r="Y146" s="158">
        <v>83.1471531834943</v>
      </c>
      <c r="Z146" s="158">
        <v>41.3666829307602</v>
      </c>
      <c r="AA146" s="158">
        <v>75.8094723615767</v>
      </c>
      <c r="AB146" s="159"/>
      <c r="AC146" s="158">
        <v>72.1669478174286</v>
      </c>
      <c r="AD146" s="158">
        <v>59.4799379252391</v>
      </c>
      <c r="AE146" s="158">
        <v>81.6041321385448</v>
      </c>
      <c r="AF146" s="158">
        <v>45.0443966362926</v>
      </c>
      <c r="AG146" s="158">
        <v>74.5516240686122</v>
      </c>
      <c r="AH146" s="9"/>
      <c r="AI146" s="63">
        <v>70.6194713567734</v>
      </c>
      <c r="AJ146" s="63">
        <v>59.6264900576222</v>
      </c>
      <c r="AK146" s="63">
        <v>78.5196496353544</v>
      </c>
      <c r="AL146" s="63">
        <v>35.9702155088656</v>
      </c>
      <c r="AM146" s="63">
        <v>66.4153848046884</v>
      </c>
      <c r="AN146" s="9"/>
      <c r="AO146" s="50">
        <v>68.85917</v>
      </c>
      <c r="AP146" s="50">
        <v>55.66396</v>
      </c>
      <c r="AQ146" s="50">
        <v>80.45341</v>
      </c>
      <c r="AR146" s="50">
        <v>43.71548</v>
      </c>
      <c r="AS146" s="50">
        <v>70.66676</v>
      </c>
      <c r="AU146" s="50">
        <v>70.27425</v>
      </c>
      <c r="AV146" s="50">
        <v>57.38976</v>
      </c>
      <c r="AW146" s="50">
        <v>80.0374</v>
      </c>
      <c r="AX146" s="50">
        <v>39.48282</v>
      </c>
      <c r="AY146" s="50">
        <v>69.28455</v>
      </c>
      <c r="BA146" s="50">
        <v>63.76772</v>
      </c>
      <c r="BB146" s="50">
        <v>51.4026</v>
      </c>
      <c r="BC146" s="50">
        <v>75.93168</v>
      </c>
      <c r="BD146" s="50">
        <v>33.34314</v>
      </c>
      <c r="BE146" s="50">
        <v>66.27036</v>
      </c>
      <c r="BG146" s="50">
        <v>70.31202</v>
      </c>
      <c r="BH146" s="50">
        <v>59.03671</v>
      </c>
      <c r="BI146" s="50">
        <v>80.27508</v>
      </c>
      <c r="BJ146" s="50">
        <v>45.11257</v>
      </c>
      <c r="BK146" s="50">
        <v>72.76646</v>
      </c>
      <c r="BM146" s="50">
        <v>70.40461</v>
      </c>
      <c r="BN146" s="50">
        <v>62.60352</v>
      </c>
      <c r="BO146" s="50">
        <v>79.92255</v>
      </c>
      <c r="BP146" s="50">
        <v>44.48396</v>
      </c>
      <c r="BQ146" s="50">
        <v>66.79833</v>
      </c>
      <c r="BS146" s="185" t="s">
        <v>498</v>
      </c>
    </row>
    <row r="147" spans="1:69" ht="12.75">
      <c r="A147" s="2">
        <f>VLOOKUP(E147,'SHA cluster table data'!B138:C314,2,FALSE)</f>
        <v>135</v>
      </c>
      <c r="B147" s="1">
        <v>144</v>
      </c>
      <c r="C147" s="42" t="str">
        <f>VLOOKUP(E147,'SHA cluster table data'!$B$4:$G$171,6,FALSE)</f>
        <v>Q34</v>
      </c>
      <c r="D147" s="42" t="s">
        <v>201</v>
      </c>
      <c r="E147" s="71" t="s">
        <v>315</v>
      </c>
      <c r="F147" s="71">
        <v>144</v>
      </c>
      <c r="G147" s="104">
        <v>64.2708194306499</v>
      </c>
      <c r="H147" s="154">
        <f t="shared" si="4"/>
        <v>64.17834078024791</v>
      </c>
      <c r="I147" s="155">
        <f t="shared" si="5"/>
        <v>66.20366012052114</v>
      </c>
      <c r="J147" s="63">
        <v>64.45818798627116</v>
      </c>
      <c r="K147" s="63">
        <v>67.253376</v>
      </c>
      <c r="L147" s="63">
        <v>64.798288</v>
      </c>
      <c r="M147" s="63">
        <v>65.598338</v>
      </c>
      <c r="N147" s="63">
        <v>66.988022</v>
      </c>
      <c r="O147" s="63">
        <v>70.33483600000001</v>
      </c>
      <c r="P147" s="86"/>
      <c r="Q147" s="103">
        <v>68.2494372154561</v>
      </c>
      <c r="R147" s="103">
        <v>54.9272843050587</v>
      </c>
      <c r="S147" s="103">
        <v>83.149634390038</v>
      </c>
      <c r="T147" s="103">
        <v>40.5849318811006</v>
      </c>
      <c r="U147" s="103">
        <v>74.4428093615959</v>
      </c>
      <c r="V147" s="86"/>
      <c r="W147" s="158">
        <v>68.3204324266052</v>
      </c>
      <c r="X147" s="158">
        <v>54.1820906225513</v>
      </c>
      <c r="Y147" s="158">
        <v>78.872341162047</v>
      </c>
      <c r="Z147" s="158">
        <v>45.3533383045838</v>
      </c>
      <c r="AA147" s="158">
        <v>74.1635013854522</v>
      </c>
      <c r="AB147" s="159"/>
      <c r="AC147" s="158">
        <v>70.2002989272577</v>
      </c>
      <c r="AD147" s="158">
        <v>62.1519424157635</v>
      </c>
      <c r="AE147" s="158">
        <v>80.9909879254081</v>
      </c>
      <c r="AF147" s="158">
        <v>44.1151921164143</v>
      </c>
      <c r="AG147" s="158">
        <v>73.5598792177621</v>
      </c>
      <c r="AH147" s="9"/>
      <c r="AI147" s="63">
        <v>70.262628027046</v>
      </c>
      <c r="AJ147" s="63">
        <v>56.8230229308766</v>
      </c>
      <c r="AK147" s="63">
        <v>81.0404678137691</v>
      </c>
      <c r="AL147" s="63">
        <v>43.6988577858815</v>
      </c>
      <c r="AM147" s="63">
        <v>70.4659633737826</v>
      </c>
      <c r="AN147" s="9"/>
      <c r="AO147" s="50">
        <v>69.33431</v>
      </c>
      <c r="AP147" s="50">
        <v>61.66312</v>
      </c>
      <c r="AQ147" s="50">
        <v>81.76286</v>
      </c>
      <c r="AR147" s="50">
        <v>50.51394</v>
      </c>
      <c r="AS147" s="50">
        <v>72.99265</v>
      </c>
      <c r="AU147" s="50">
        <v>68.73618</v>
      </c>
      <c r="AV147" s="50">
        <v>57.32803</v>
      </c>
      <c r="AW147" s="50">
        <v>79.56895</v>
      </c>
      <c r="AX147" s="50">
        <v>42.69889</v>
      </c>
      <c r="AY147" s="50">
        <v>75.65939</v>
      </c>
      <c r="BA147" s="50">
        <v>66.61504</v>
      </c>
      <c r="BB147" s="50">
        <v>60.53273</v>
      </c>
      <c r="BC147" s="50">
        <v>78.9295</v>
      </c>
      <c r="BD147" s="50">
        <v>47.81546</v>
      </c>
      <c r="BE147" s="50">
        <v>74.09896</v>
      </c>
      <c r="BG147" s="50">
        <v>68.75513</v>
      </c>
      <c r="BH147" s="50">
        <v>57.7164</v>
      </c>
      <c r="BI147" s="50">
        <v>81.73101</v>
      </c>
      <c r="BJ147" s="50">
        <v>48.82559</v>
      </c>
      <c r="BK147" s="50">
        <v>77.91198</v>
      </c>
      <c r="BM147" s="50">
        <v>73.55218</v>
      </c>
      <c r="BN147" s="50">
        <v>64.34071</v>
      </c>
      <c r="BO147" s="50">
        <v>82.99377</v>
      </c>
      <c r="BP147" s="50">
        <v>52.39249</v>
      </c>
      <c r="BQ147" s="50">
        <v>78.39503</v>
      </c>
    </row>
    <row r="148" spans="1:69" ht="12.75">
      <c r="A148" s="2">
        <f>VLOOKUP(E148,'SHA cluster table data'!B139:C315,2,FALSE)</f>
        <v>136</v>
      </c>
      <c r="B148" s="2">
        <v>145</v>
      </c>
      <c r="C148" s="42" t="str">
        <f>VLOOKUP(E148,'SHA cluster table data'!$B$4:$G$171,6,FALSE)</f>
        <v>Q36</v>
      </c>
      <c r="D148" s="42" t="s">
        <v>240</v>
      </c>
      <c r="E148" s="71" t="s">
        <v>316</v>
      </c>
      <c r="F148" s="71">
        <v>145</v>
      </c>
      <c r="G148" s="104">
        <v>71.8561638015083</v>
      </c>
      <c r="H148" s="154">
        <f t="shared" si="4"/>
        <v>70.81052083079817</v>
      </c>
      <c r="I148" s="155">
        <f t="shared" si="5"/>
        <v>68.67434669980094</v>
      </c>
      <c r="J148" s="63">
        <v>68.9287634264894</v>
      </c>
      <c r="K148" s="63">
        <v>66.301976</v>
      </c>
      <c r="L148" s="63">
        <v>72.031738</v>
      </c>
      <c r="M148" s="63">
        <v>65.328824</v>
      </c>
      <c r="N148" s="63">
        <v>66.972124</v>
      </c>
      <c r="O148" s="63">
        <v>72.686526</v>
      </c>
      <c r="P148" s="86"/>
      <c r="Q148" s="103">
        <v>74.9778993281904</v>
      </c>
      <c r="R148" s="103">
        <v>58.6949232252246</v>
      </c>
      <c r="S148" s="103">
        <v>83.3749991024964</v>
      </c>
      <c r="T148" s="103">
        <v>59.4880753607691</v>
      </c>
      <c r="U148" s="103">
        <v>82.744921990861</v>
      </c>
      <c r="V148" s="86"/>
      <c r="W148" s="158">
        <v>76.4752740480494</v>
      </c>
      <c r="X148" s="158">
        <v>62.1503797945404</v>
      </c>
      <c r="Y148" s="158">
        <v>83.2653190973471</v>
      </c>
      <c r="Z148" s="158">
        <v>49.8810711510831</v>
      </c>
      <c r="AA148" s="158">
        <v>82.2805600629708</v>
      </c>
      <c r="AB148" s="159"/>
      <c r="AC148" s="158">
        <v>74.6119720946966</v>
      </c>
      <c r="AD148" s="158">
        <v>60.4910103737146</v>
      </c>
      <c r="AE148" s="158">
        <v>82.0153142438638</v>
      </c>
      <c r="AF148" s="158">
        <v>53.1781316860927</v>
      </c>
      <c r="AG148" s="158">
        <v>73.075305100637</v>
      </c>
      <c r="AH148" s="9"/>
      <c r="AI148" s="63">
        <v>74.8226039182768</v>
      </c>
      <c r="AJ148" s="63">
        <v>62.9237454501062</v>
      </c>
      <c r="AK148" s="63">
        <v>83.4272087724245</v>
      </c>
      <c r="AL148" s="63">
        <v>46.7776040041302</v>
      </c>
      <c r="AM148" s="63">
        <v>76.6926549875093</v>
      </c>
      <c r="AN148" s="9"/>
      <c r="AO148" s="50">
        <v>67.60195</v>
      </c>
      <c r="AP148" s="50">
        <v>57.71669</v>
      </c>
      <c r="AQ148" s="50">
        <v>82.0631</v>
      </c>
      <c r="AR148" s="50">
        <v>46.76291</v>
      </c>
      <c r="AS148" s="50">
        <v>77.36523</v>
      </c>
      <c r="AU148" s="50">
        <v>75.35769</v>
      </c>
      <c r="AV148" s="50">
        <v>67.01698</v>
      </c>
      <c r="AW148" s="50">
        <v>85.28389</v>
      </c>
      <c r="AX148" s="50">
        <v>52.48763</v>
      </c>
      <c r="AY148" s="50">
        <v>80.0125</v>
      </c>
      <c r="BA148" s="50">
        <v>70.34476</v>
      </c>
      <c r="BB148" s="50">
        <v>56.04642</v>
      </c>
      <c r="BC148" s="50">
        <v>79.23781</v>
      </c>
      <c r="BD148" s="50">
        <v>46.48025</v>
      </c>
      <c r="BE148" s="50">
        <v>74.53488</v>
      </c>
      <c r="BG148" s="50">
        <v>70.19666</v>
      </c>
      <c r="BH148" s="50">
        <v>57.79802</v>
      </c>
      <c r="BI148" s="50">
        <v>82.45815</v>
      </c>
      <c r="BJ148" s="50">
        <v>53.07205</v>
      </c>
      <c r="BK148" s="50">
        <v>71.33574</v>
      </c>
      <c r="BM148" s="50">
        <v>75.28551</v>
      </c>
      <c r="BN148" s="50">
        <v>65.08321</v>
      </c>
      <c r="BO148" s="50">
        <v>82.93748</v>
      </c>
      <c r="BP148" s="50">
        <v>57.39289</v>
      </c>
      <c r="BQ148" s="50">
        <v>82.73354</v>
      </c>
    </row>
    <row r="149" spans="1:69" ht="12.75">
      <c r="A149" s="2">
        <f>VLOOKUP(E149,'SHA cluster table data'!B140:C316,2,FALSE)</f>
        <v>137</v>
      </c>
      <c r="B149" s="2">
        <v>146</v>
      </c>
      <c r="C149" s="42" t="str">
        <f>VLOOKUP(E149,'SHA cluster table data'!$B$4:$G$171,6,FALSE)</f>
        <v>Q34</v>
      </c>
      <c r="D149" s="42" t="s">
        <v>47</v>
      </c>
      <c r="E149" s="71" t="s">
        <v>374</v>
      </c>
      <c r="F149" s="71">
        <v>146</v>
      </c>
      <c r="G149" s="104">
        <v>72.4181278962521</v>
      </c>
      <c r="H149" s="154">
        <f t="shared" si="4"/>
        <v>71.07476714297482</v>
      </c>
      <c r="I149" s="155">
        <f t="shared" si="5"/>
        <v>67.92381528148385</v>
      </c>
      <c r="J149" s="63">
        <v>67.8239295966813</v>
      </c>
      <c r="K149" s="63">
        <v>68.697112</v>
      </c>
      <c r="L149" s="63">
        <v>66.43925999999999</v>
      </c>
      <c r="M149" s="63">
        <v>66.73483800000001</v>
      </c>
      <c r="N149" s="63">
        <v>66.10443000000001</v>
      </c>
      <c r="O149" s="63">
        <v>67.90330999999999</v>
      </c>
      <c r="P149" s="86"/>
      <c r="Q149" s="103">
        <v>75.198022483752</v>
      </c>
      <c r="R149" s="103">
        <v>63.599393001381</v>
      </c>
      <c r="S149" s="103">
        <v>87.0526248708139</v>
      </c>
      <c r="T149" s="103">
        <v>53.5546367549925</v>
      </c>
      <c r="U149" s="103">
        <v>82.6859623703212</v>
      </c>
      <c r="V149" s="86"/>
      <c r="W149" s="158">
        <v>74.186743336982</v>
      </c>
      <c r="X149" s="158">
        <v>61.7395737372155</v>
      </c>
      <c r="Y149" s="158">
        <v>84.5007636787083</v>
      </c>
      <c r="Z149" s="158">
        <v>51.4077679668925</v>
      </c>
      <c r="AA149" s="158">
        <v>83.5389869950758</v>
      </c>
      <c r="AB149" s="159"/>
      <c r="AC149" s="158">
        <v>69.2492046240925</v>
      </c>
      <c r="AD149" s="158">
        <v>58.4427928874817</v>
      </c>
      <c r="AE149" s="158">
        <v>81.9706163177898</v>
      </c>
      <c r="AF149" s="158">
        <v>47.0764907541637</v>
      </c>
      <c r="AG149" s="158">
        <v>82.8799718238916</v>
      </c>
      <c r="AH149" s="9"/>
      <c r="AI149" s="63">
        <v>70.0753463958905</v>
      </c>
      <c r="AJ149" s="63">
        <v>61.0544545157143</v>
      </c>
      <c r="AK149" s="63">
        <v>77.5949644717541</v>
      </c>
      <c r="AL149" s="63">
        <v>46.431801432755</v>
      </c>
      <c r="AM149" s="63">
        <v>83.9630811672926</v>
      </c>
      <c r="AN149" s="9"/>
      <c r="AO149" s="50">
        <v>70.45634</v>
      </c>
      <c r="AP149" s="50">
        <v>59.19043</v>
      </c>
      <c r="AQ149" s="50">
        <v>79.3761</v>
      </c>
      <c r="AR149" s="50">
        <v>50.93335</v>
      </c>
      <c r="AS149" s="50">
        <v>83.52934</v>
      </c>
      <c r="AU149" s="50">
        <v>66.71226</v>
      </c>
      <c r="AV149" s="50">
        <v>62.4724</v>
      </c>
      <c r="AW149" s="50">
        <v>77.10184</v>
      </c>
      <c r="AX149" s="50">
        <v>45.11673</v>
      </c>
      <c r="AY149" s="50">
        <v>80.79307</v>
      </c>
      <c r="BA149" s="50">
        <v>69.98367</v>
      </c>
      <c r="BB149" s="50">
        <v>61.15841</v>
      </c>
      <c r="BC149" s="50">
        <v>77.80776</v>
      </c>
      <c r="BD149" s="50">
        <v>45.40585</v>
      </c>
      <c r="BE149" s="50">
        <v>79.3185</v>
      </c>
      <c r="BG149" s="50">
        <v>66.34652</v>
      </c>
      <c r="BH149" s="50">
        <v>59.48936</v>
      </c>
      <c r="BI149" s="50">
        <v>74.59554</v>
      </c>
      <c r="BJ149" s="50">
        <v>47.53098</v>
      </c>
      <c r="BK149" s="50">
        <v>82.55975</v>
      </c>
      <c r="BM149" s="50">
        <v>71.03536</v>
      </c>
      <c r="BN149" s="50">
        <v>59.86933</v>
      </c>
      <c r="BO149" s="50">
        <v>78.45459</v>
      </c>
      <c r="BP149" s="50">
        <v>47.54586</v>
      </c>
      <c r="BQ149" s="50">
        <v>82.61141</v>
      </c>
    </row>
    <row r="150" spans="1:69" ht="12.75">
      <c r="A150" s="2">
        <f>VLOOKUP(E150,'SHA cluster table data'!B141:C317,2,FALSE)</f>
        <v>138</v>
      </c>
      <c r="B150" s="2">
        <v>147</v>
      </c>
      <c r="C150" s="42" t="str">
        <f>VLOOKUP(E150,'SHA cluster table data'!$B$4:$G$171,6,FALSE)</f>
        <v>Q34</v>
      </c>
      <c r="D150" s="42" t="s">
        <v>134</v>
      </c>
      <c r="E150" s="71" t="s">
        <v>282</v>
      </c>
      <c r="F150" s="71">
        <v>147</v>
      </c>
      <c r="G150" s="104">
        <v>65.9709623517546</v>
      </c>
      <c r="H150" s="154">
        <f t="shared" si="4"/>
        <v>64.63514075621205</v>
      </c>
      <c r="I150" s="155">
        <f t="shared" si="5"/>
        <v>68.88599718871373</v>
      </c>
      <c r="J150" s="63">
        <v>67.55243498938853</v>
      </c>
      <c r="K150" s="63">
        <v>66.23879600000001</v>
      </c>
      <c r="L150" s="63">
        <v>66.97079599999999</v>
      </c>
      <c r="M150" s="63">
        <v>68.35865199999999</v>
      </c>
      <c r="N150" s="63">
        <v>66.895576</v>
      </c>
      <c r="O150" s="63">
        <v>74.04191</v>
      </c>
      <c r="P150" s="86"/>
      <c r="Q150" s="103">
        <v>72.1469661452224</v>
      </c>
      <c r="R150" s="103">
        <v>59.5655940320602</v>
      </c>
      <c r="S150" s="103">
        <v>86.513746663593</v>
      </c>
      <c r="T150" s="103">
        <v>38.9880676723829</v>
      </c>
      <c r="U150" s="103">
        <v>72.6404372455147</v>
      </c>
      <c r="V150" s="86"/>
      <c r="W150" s="158">
        <v>67.9795972886027</v>
      </c>
      <c r="X150" s="158">
        <v>61.6162995498088</v>
      </c>
      <c r="Y150" s="158">
        <v>79.8374356749202</v>
      </c>
      <c r="Z150" s="158">
        <v>43.3339272580289</v>
      </c>
      <c r="AA150" s="158">
        <v>70.4084440096997</v>
      </c>
      <c r="AB150" s="159"/>
      <c r="AC150" s="158">
        <v>74.2032715640021</v>
      </c>
      <c r="AD150" s="158">
        <v>67.0195297182421</v>
      </c>
      <c r="AE150" s="158">
        <v>79.9949818738643</v>
      </c>
      <c r="AF150" s="158">
        <v>46.0098879490859</v>
      </c>
      <c r="AG150" s="158">
        <v>77.2023148383743</v>
      </c>
      <c r="AH150" s="9"/>
      <c r="AI150" s="63">
        <v>71.4991670245442</v>
      </c>
      <c r="AJ150" s="63">
        <v>65.4827426753436</v>
      </c>
      <c r="AK150" s="63">
        <v>76.3423207023219</v>
      </c>
      <c r="AL150" s="63">
        <v>47.0955568608807</v>
      </c>
      <c r="AM150" s="63">
        <v>77.3423876838522</v>
      </c>
      <c r="AN150" s="9"/>
      <c r="AO150" s="50">
        <v>69.28294</v>
      </c>
      <c r="AP150" s="50">
        <v>61.30119</v>
      </c>
      <c r="AQ150" s="50">
        <v>79.40921</v>
      </c>
      <c r="AR150" s="50">
        <v>43.57025</v>
      </c>
      <c r="AS150" s="50">
        <v>77.63039</v>
      </c>
      <c r="AU150" s="50">
        <v>70.81459</v>
      </c>
      <c r="AV150" s="50">
        <v>63.78954</v>
      </c>
      <c r="AW150" s="50">
        <v>77.10606</v>
      </c>
      <c r="AX150" s="50">
        <v>45.16247</v>
      </c>
      <c r="AY150" s="50">
        <v>77.98132</v>
      </c>
      <c r="BA150" s="50">
        <v>69.38719</v>
      </c>
      <c r="BB150" s="50">
        <v>66.35847</v>
      </c>
      <c r="BC150" s="50">
        <v>78.18047</v>
      </c>
      <c r="BD150" s="50">
        <v>48.24206</v>
      </c>
      <c r="BE150" s="50">
        <v>79.62507</v>
      </c>
      <c r="BG150" s="50">
        <v>69.67072</v>
      </c>
      <c r="BH150" s="50">
        <v>61.6716</v>
      </c>
      <c r="BI150" s="50">
        <v>79.2704</v>
      </c>
      <c r="BJ150" s="50">
        <v>45.48494</v>
      </c>
      <c r="BK150" s="50">
        <v>78.38022</v>
      </c>
      <c r="BM150" s="50">
        <v>74.58825</v>
      </c>
      <c r="BN150" s="50">
        <v>70.61871</v>
      </c>
      <c r="BO150" s="50">
        <v>82.37678</v>
      </c>
      <c r="BP150" s="50">
        <v>54.68135</v>
      </c>
      <c r="BQ150" s="50">
        <v>87.94446</v>
      </c>
    </row>
    <row r="151" spans="1:69" ht="12.75">
      <c r="A151" s="2">
        <f>VLOOKUP(E151,'SHA cluster table data'!B142:C318,2,FALSE)</f>
        <v>139</v>
      </c>
      <c r="B151" s="1">
        <v>148</v>
      </c>
      <c r="C151" s="42" t="str">
        <f>VLOOKUP(E151,'SHA cluster table data'!$B$4:$G$171,6,FALSE)</f>
        <v>Q31</v>
      </c>
      <c r="D151" s="42" t="s">
        <v>106</v>
      </c>
      <c r="E151" s="71" t="s">
        <v>305</v>
      </c>
      <c r="F151" s="71">
        <v>148</v>
      </c>
      <c r="G151" s="104">
        <v>68.044186911257</v>
      </c>
      <c r="H151" s="154">
        <f t="shared" si="4"/>
        <v>68.24458128695294</v>
      </c>
      <c r="I151" s="155">
        <f t="shared" si="5"/>
        <v>70.07762727883627</v>
      </c>
      <c r="J151" s="63">
        <v>65.43681626035975</v>
      </c>
      <c r="K151" s="63">
        <v>68.93524599999999</v>
      </c>
      <c r="L151" s="63">
        <v>67.33641</v>
      </c>
      <c r="M151" s="63">
        <v>70.60538799999999</v>
      </c>
      <c r="N151" s="63">
        <v>69.677694</v>
      </c>
      <c r="O151" s="63">
        <v>69.28009200000001</v>
      </c>
      <c r="P151" s="86"/>
      <c r="Q151" s="103">
        <v>73.3642835065504</v>
      </c>
      <c r="R151" s="103">
        <v>61.3245594231827</v>
      </c>
      <c r="S151" s="103">
        <v>83.8227267315763</v>
      </c>
      <c r="T151" s="103">
        <v>45.8168424048611</v>
      </c>
      <c r="U151" s="103">
        <v>75.8925224901144</v>
      </c>
      <c r="V151" s="86"/>
      <c r="W151" s="158">
        <v>73.2619464487</v>
      </c>
      <c r="X151" s="158">
        <v>57.9684224798146</v>
      </c>
      <c r="Y151" s="158">
        <v>83.968680018206</v>
      </c>
      <c r="Z151" s="158">
        <v>47.9071179600701</v>
      </c>
      <c r="AA151" s="158">
        <v>78.116739527974</v>
      </c>
      <c r="AB151" s="159"/>
      <c r="AC151" s="158">
        <v>74.7366376221467</v>
      </c>
      <c r="AD151" s="158">
        <v>64.6465076780822</v>
      </c>
      <c r="AE151" s="158">
        <v>83.8793044348633</v>
      </c>
      <c r="AF151" s="158">
        <v>51.0706564001548</v>
      </c>
      <c r="AG151" s="158">
        <v>76.0550302589344</v>
      </c>
      <c r="AH151" s="9"/>
      <c r="AI151" s="63">
        <v>72.7549551206337</v>
      </c>
      <c r="AJ151" s="63">
        <v>61.107032081734</v>
      </c>
      <c r="AK151" s="63">
        <v>80.527858028594</v>
      </c>
      <c r="AL151" s="63">
        <v>43.7681855483677</v>
      </c>
      <c r="AM151" s="63">
        <v>69.0260505224694</v>
      </c>
      <c r="AN151" s="9"/>
      <c r="AO151" s="50">
        <v>74.57022</v>
      </c>
      <c r="AP151" s="50">
        <v>61.66387</v>
      </c>
      <c r="AQ151" s="50">
        <v>81.67683</v>
      </c>
      <c r="AR151" s="50">
        <v>48.80286</v>
      </c>
      <c r="AS151" s="50">
        <v>77.96245</v>
      </c>
      <c r="AU151" s="50">
        <v>71.48384</v>
      </c>
      <c r="AV151" s="50">
        <v>62.67326</v>
      </c>
      <c r="AW151" s="50">
        <v>79.83947</v>
      </c>
      <c r="AX151" s="50">
        <v>48.9103</v>
      </c>
      <c r="AY151" s="50">
        <v>73.77518</v>
      </c>
      <c r="BA151" s="50">
        <v>75.40858</v>
      </c>
      <c r="BB151" s="50">
        <v>67.37209</v>
      </c>
      <c r="BC151" s="50">
        <v>82.88046</v>
      </c>
      <c r="BD151" s="50">
        <v>47.8558</v>
      </c>
      <c r="BE151" s="50">
        <v>79.51001</v>
      </c>
      <c r="BG151" s="50">
        <v>76.64027</v>
      </c>
      <c r="BH151" s="50">
        <v>65.29018</v>
      </c>
      <c r="BI151" s="50">
        <v>81.18304</v>
      </c>
      <c r="BJ151" s="50">
        <v>48.79702</v>
      </c>
      <c r="BK151" s="50">
        <v>76.47796</v>
      </c>
      <c r="BM151" s="50">
        <v>74.9416</v>
      </c>
      <c r="BN151" s="50">
        <v>65.96751</v>
      </c>
      <c r="BO151" s="50">
        <v>84.84471</v>
      </c>
      <c r="BP151" s="50">
        <v>44.55011</v>
      </c>
      <c r="BQ151" s="50">
        <v>76.09653</v>
      </c>
    </row>
    <row r="152" spans="1:69" ht="12.75">
      <c r="A152" s="2">
        <f>VLOOKUP(E152,'SHA cluster table data'!B143:C319,2,FALSE)</f>
        <v>140</v>
      </c>
      <c r="B152" s="2">
        <v>149</v>
      </c>
      <c r="C152" s="42" t="str">
        <f>VLOOKUP(E152,'SHA cluster table data'!$B$4:$G$171,6,FALSE)</f>
        <v>Q39</v>
      </c>
      <c r="D152" s="42" t="s">
        <v>109</v>
      </c>
      <c r="E152" s="71" t="s">
        <v>314</v>
      </c>
      <c r="F152" s="71">
        <v>149</v>
      </c>
      <c r="G152" s="104">
        <v>72.4129630771136</v>
      </c>
      <c r="H152" s="154">
        <f t="shared" si="4"/>
        <v>69.90186559506539</v>
      </c>
      <c r="I152" s="155">
        <f t="shared" si="5"/>
        <v>70.43270987693396</v>
      </c>
      <c r="J152" s="63">
        <v>70.47282583257535</v>
      </c>
      <c r="K152" s="63">
        <v>69.348516</v>
      </c>
      <c r="L152" s="63">
        <v>67.705458</v>
      </c>
      <c r="M152" s="63">
        <v>69.573836</v>
      </c>
      <c r="N152" s="63">
        <v>70.077856</v>
      </c>
      <c r="O152" s="63">
        <v>70.71634</v>
      </c>
      <c r="P152" s="86"/>
      <c r="Q152" s="103">
        <v>75.003257073342</v>
      </c>
      <c r="R152" s="103">
        <v>63.1660515980097</v>
      </c>
      <c r="S152" s="103">
        <v>86.0845819602068</v>
      </c>
      <c r="T152" s="103">
        <v>56.6061386423377</v>
      </c>
      <c r="U152" s="103">
        <v>81.2047861116717</v>
      </c>
      <c r="V152" s="86"/>
      <c r="W152" s="158">
        <v>75.23245270623</v>
      </c>
      <c r="X152" s="158">
        <v>61.8414399599316</v>
      </c>
      <c r="Y152" s="158">
        <v>85.8135539415287</v>
      </c>
      <c r="Z152" s="158">
        <v>50.7609451577893</v>
      </c>
      <c r="AA152" s="158">
        <v>75.8609362098473</v>
      </c>
      <c r="AB152" s="159"/>
      <c r="AC152" s="158">
        <v>72.8960095034695</v>
      </c>
      <c r="AD152" s="158">
        <v>63.4959185020084</v>
      </c>
      <c r="AE152" s="158">
        <v>83.7210065923698</v>
      </c>
      <c r="AF152" s="158">
        <v>52.6224637075808</v>
      </c>
      <c r="AG152" s="158">
        <v>79.4281510792413</v>
      </c>
      <c r="AH152" s="9"/>
      <c r="AI152" s="63">
        <v>72.6099966520536</v>
      </c>
      <c r="AJ152" s="63">
        <v>62.3975717544739</v>
      </c>
      <c r="AK152" s="63">
        <v>81.8851762588253</v>
      </c>
      <c r="AL152" s="63">
        <v>52.3476547925739</v>
      </c>
      <c r="AM152" s="63">
        <v>83.1237297049501</v>
      </c>
      <c r="AN152" s="9"/>
      <c r="AO152" s="50">
        <v>72.95806</v>
      </c>
      <c r="AP152" s="50">
        <v>61.13723</v>
      </c>
      <c r="AQ152" s="50">
        <v>80.09315</v>
      </c>
      <c r="AR152" s="50">
        <v>52.79167</v>
      </c>
      <c r="AS152" s="50">
        <v>79.76247</v>
      </c>
      <c r="AU152" s="50">
        <v>68.93875</v>
      </c>
      <c r="AV152" s="50">
        <v>63.63816</v>
      </c>
      <c r="AW152" s="50">
        <v>81.20531</v>
      </c>
      <c r="AX152" s="50">
        <v>48.53886</v>
      </c>
      <c r="AY152" s="50">
        <v>76.20621</v>
      </c>
      <c r="BA152" s="50">
        <v>75.40427</v>
      </c>
      <c r="BB152" s="50">
        <v>62.66694</v>
      </c>
      <c r="BC152" s="50">
        <v>79.5875</v>
      </c>
      <c r="BD152" s="50">
        <v>49.82429</v>
      </c>
      <c r="BE152" s="50">
        <v>80.38618</v>
      </c>
      <c r="BG152" s="50">
        <v>74.62765</v>
      </c>
      <c r="BH152" s="50">
        <v>63.50946</v>
      </c>
      <c r="BI152" s="50">
        <v>82.31664</v>
      </c>
      <c r="BJ152" s="50">
        <v>51.94556</v>
      </c>
      <c r="BK152" s="50">
        <v>77.98997</v>
      </c>
      <c r="BM152" s="50">
        <v>74.84876</v>
      </c>
      <c r="BN152" s="50">
        <v>65.08064</v>
      </c>
      <c r="BO152" s="50">
        <v>82.05651</v>
      </c>
      <c r="BP152" s="50">
        <v>50.18887</v>
      </c>
      <c r="BQ152" s="50">
        <v>81.40692</v>
      </c>
    </row>
    <row r="153" spans="1:69" ht="12.75">
      <c r="A153" s="2">
        <f>VLOOKUP(E153,'SHA cluster table data'!B144:C320,2,FALSE)</f>
        <v>141</v>
      </c>
      <c r="B153" s="2">
        <v>150</v>
      </c>
      <c r="C153" s="42" t="str">
        <f>VLOOKUP(E153,'SHA cluster table data'!$B$4:$G$171,6,FALSE)</f>
        <v>Q34</v>
      </c>
      <c r="D153" s="42" t="s">
        <v>202</v>
      </c>
      <c r="E153" s="71" t="s">
        <v>317</v>
      </c>
      <c r="F153" s="71">
        <v>150</v>
      </c>
      <c r="G153" s="104">
        <v>65.3170674548791</v>
      </c>
      <c r="H153" s="154">
        <f t="shared" si="4"/>
        <v>65.40404496236164</v>
      </c>
      <c r="I153" s="155">
        <f t="shared" si="5"/>
        <v>66.25759762537173</v>
      </c>
      <c r="J153" s="63">
        <v>66.59283410770874</v>
      </c>
      <c r="K153" s="63">
        <v>65.144736</v>
      </c>
      <c r="L153" s="63">
        <v>64.118588</v>
      </c>
      <c r="M153" s="63">
        <v>61.39858</v>
      </c>
      <c r="N153" s="63">
        <v>64.893166</v>
      </c>
      <c r="O153" s="63">
        <v>69.12328</v>
      </c>
      <c r="P153" s="86"/>
      <c r="Q153" s="103">
        <v>70.233940939685</v>
      </c>
      <c r="R153" s="103">
        <v>53.0208516319714</v>
      </c>
      <c r="S153" s="103">
        <v>82.3029101612423</v>
      </c>
      <c r="T153" s="103">
        <v>44.1263955000853</v>
      </c>
      <c r="U153" s="103">
        <v>76.9012390414114</v>
      </c>
      <c r="V153" s="86"/>
      <c r="W153" s="158">
        <v>68.2028194471498</v>
      </c>
      <c r="X153" s="158">
        <v>55.4700679672917</v>
      </c>
      <c r="Y153" s="158">
        <v>78.272799212428</v>
      </c>
      <c r="Z153" s="158">
        <v>47.5814114024161</v>
      </c>
      <c r="AA153" s="158">
        <v>77.4931267825226</v>
      </c>
      <c r="AB153" s="159"/>
      <c r="AC153" s="158">
        <v>72.2638889948389</v>
      </c>
      <c r="AD153" s="158">
        <v>56.6959205182151</v>
      </c>
      <c r="AE153" s="158">
        <v>82.3633362436024</v>
      </c>
      <c r="AF153" s="158">
        <v>43.118089146168</v>
      </c>
      <c r="AG153" s="158">
        <v>76.8467532240342</v>
      </c>
      <c r="AH153" s="9"/>
      <c r="AI153" s="63">
        <v>71.9904287831806</v>
      </c>
      <c r="AJ153" s="63">
        <v>60.1157913033496</v>
      </c>
      <c r="AK153" s="63">
        <v>81.3232880395412</v>
      </c>
      <c r="AL153" s="63">
        <v>43.0516391179049</v>
      </c>
      <c r="AM153" s="63">
        <v>76.4830232945674</v>
      </c>
      <c r="AN153" s="9"/>
      <c r="AO153" s="50">
        <v>66.36283</v>
      </c>
      <c r="AP153" s="50">
        <v>58.02842</v>
      </c>
      <c r="AQ153" s="50">
        <v>78.9312</v>
      </c>
      <c r="AR153" s="50">
        <v>45.29323</v>
      </c>
      <c r="AS153" s="50">
        <v>77.108</v>
      </c>
      <c r="AU153" s="50">
        <v>66.99013</v>
      </c>
      <c r="AV153" s="50">
        <v>54.2384</v>
      </c>
      <c r="AW153" s="50">
        <v>79.44428</v>
      </c>
      <c r="AX153" s="50">
        <v>39.7368</v>
      </c>
      <c r="AY153" s="50">
        <v>80.18333</v>
      </c>
      <c r="BA153" s="50">
        <v>63.55896</v>
      </c>
      <c r="BB153" s="50">
        <v>52.39715</v>
      </c>
      <c r="BC153" s="50">
        <v>79.25023</v>
      </c>
      <c r="BD153" s="50">
        <v>40.51713</v>
      </c>
      <c r="BE153" s="50">
        <v>71.26943</v>
      </c>
      <c r="BG153" s="50">
        <v>68.65572</v>
      </c>
      <c r="BH153" s="50">
        <v>57.61053</v>
      </c>
      <c r="BI153" s="50">
        <v>79.85493</v>
      </c>
      <c r="BJ153" s="50">
        <v>42.45623</v>
      </c>
      <c r="BK153" s="50">
        <v>75.88842</v>
      </c>
      <c r="BM153" s="50">
        <v>70.88157</v>
      </c>
      <c r="BN153" s="50">
        <v>63.4476</v>
      </c>
      <c r="BO153" s="50">
        <v>81.0881</v>
      </c>
      <c r="BP153" s="50">
        <v>50.40571</v>
      </c>
      <c r="BQ153" s="50">
        <v>79.79342</v>
      </c>
    </row>
    <row r="154" spans="1:69" ht="12.75">
      <c r="A154" s="2">
        <f>VLOOKUP(E154,'SHA cluster table data'!B145:C321,2,FALSE)</f>
        <v>142</v>
      </c>
      <c r="B154" s="2">
        <v>151</v>
      </c>
      <c r="C154" s="42" t="str">
        <f>VLOOKUP(E154,'SHA cluster table data'!$B$4:$G$171,6,FALSE)</f>
        <v>Q34</v>
      </c>
      <c r="D154" s="42" t="s">
        <v>203</v>
      </c>
      <c r="E154" s="71" t="s">
        <v>318</v>
      </c>
      <c r="F154" s="71">
        <v>151</v>
      </c>
      <c r="G154" s="104">
        <v>67.3025519710676</v>
      </c>
      <c r="H154" s="154">
        <f t="shared" si="4"/>
        <v>67.28539598857947</v>
      </c>
      <c r="I154" s="155">
        <f t="shared" si="5"/>
        <v>66.45132375122346</v>
      </c>
      <c r="J154" s="63">
        <v>66.43283218143003</v>
      </c>
      <c r="K154" s="63">
        <v>63.729408</v>
      </c>
      <c r="L154" s="63">
        <v>64.804726</v>
      </c>
      <c r="M154" s="63">
        <v>64.715062</v>
      </c>
      <c r="N154" s="63">
        <v>67.719154</v>
      </c>
      <c r="O154" s="63">
        <v>64.42183800000001</v>
      </c>
      <c r="P154" s="86"/>
      <c r="Q154" s="103">
        <v>72.189878452828</v>
      </c>
      <c r="R154" s="103">
        <v>56.1053671031407</v>
      </c>
      <c r="S154" s="103">
        <v>82.658423323235</v>
      </c>
      <c r="T154" s="103">
        <v>45.8709875294419</v>
      </c>
      <c r="U154" s="103">
        <v>79.6881034466926</v>
      </c>
      <c r="V154" s="86"/>
      <c r="W154" s="158">
        <v>71.6164492147541</v>
      </c>
      <c r="X154" s="158">
        <v>56.4864186399022</v>
      </c>
      <c r="Y154" s="158">
        <v>81.4052984415954</v>
      </c>
      <c r="Z154" s="158">
        <v>46.0438409974652</v>
      </c>
      <c r="AA154" s="158">
        <v>80.8749726491804</v>
      </c>
      <c r="AB154" s="159"/>
      <c r="AC154" s="158">
        <v>67.5256620113121</v>
      </c>
      <c r="AD154" s="158">
        <v>59.7963719231543</v>
      </c>
      <c r="AE154" s="158">
        <v>83.2888882936949</v>
      </c>
      <c r="AF154" s="158">
        <v>45.6363001918454</v>
      </c>
      <c r="AG154" s="158">
        <v>76.0093963361106</v>
      </c>
      <c r="AH154" s="9"/>
      <c r="AI154" s="63">
        <v>70.016948060177</v>
      </c>
      <c r="AJ154" s="63">
        <v>55.5137856563706</v>
      </c>
      <c r="AK154" s="63">
        <v>80.1225691141814</v>
      </c>
      <c r="AL154" s="63">
        <v>47.005058277018</v>
      </c>
      <c r="AM154" s="63">
        <v>79.5057997994031</v>
      </c>
      <c r="AN154" s="9"/>
      <c r="AO154" s="50">
        <v>67.17931</v>
      </c>
      <c r="AP154" s="50">
        <v>54.84221</v>
      </c>
      <c r="AQ154" s="50">
        <v>79.7291</v>
      </c>
      <c r="AR154" s="50">
        <v>41.70781</v>
      </c>
      <c r="AS154" s="50">
        <v>75.18861</v>
      </c>
      <c r="AU154" s="50">
        <v>67.42935</v>
      </c>
      <c r="AV154" s="50">
        <v>56.17426</v>
      </c>
      <c r="AW154" s="50">
        <v>81.11639</v>
      </c>
      <c r="AX154" s="50">
        <v>45.43798</v>
      </c>
      <c r="AY154" s="50">
        <v>73.86565</v>
      </c>
      <c r="BA154" s="50">
        <v>66.63327</v>
      </c>
      <c r="BB154" s="50">
        <v>56.54283</v>
      </c>
      <c r="BC154" s="50">
        <v>78.3224</v>
      </c>
      <c r="BD154" s="50">
        <v>45.4703</v>
      </c>
      <c r="BE154" s="50">
        <v>76.60651</v>
      </c>
      <c r="BG154" s="50">
        <v>67.70454</v>
      </c>
      <c r="BH154" s="50">
        <v>57.84924</v>
      </c>
      <c r="BI154" s="50">
        <v>81.27477</v>
      </c>
      <c r="BJ154" s="50">
        <v>50.94817</v>
      </c>
      <c r="BK154" s="50">
        <v>80.81905</v>
      </c>
      <c r="BM154" s="50">
        <v>70.08461</v>
      </c>
      <c r="BN154" s="50">
        <v>55.16523</v>
      </c>
      <c r="BO154" s="50">
        <v>80.29059</v>
      </c>
      <c r="BP154" s="50">
        <v>45.37465</v>
      </c>
      <c r="BQ154" s="50">
        <v>71.19411</v>
      </c>
    </row>
    <row r="155" spans="1:69" ht="12.75">
      <c r="A155" s="2">
        <f>VLOOKUP(E155,'SHA cluster table data'!B146:C322,2,FALSE)</f>
        <v>143</v>
      </c>
      <c r="B155" s="1">
        <v>152</v>
      </c>
      <c r="C155" s="42" t="str">
        <f>VLOOKUP(E155,'SHA cluster table data'!$B$4:$G$171,6,FALSE)</f>
        <v>Q31</v>
      </c>
      <c r="D155" s="42" t="s">
        <v>98</v>
      </c>
      <c r="E155" s="71" t="s">
        <v>277</v>
      </c>
      <c r="F155" s="71">
        <v>152</v>
      </c>
      <c r="G155" s="104">
        <v>66.6093227391906</v>
      </c>
      <c r="H155" s="154">
        <f t="shared" si="4"/>
        <v>65.30226809926322</v>
      </c>
      <c r="I155" s="155">
        <f t="shared" si="5"/>
        <v>67.02849241522134</v>
      </c>
      <c r="J155" s="63">
        <v>67.18171272721347</v>
      </c>
      <c r="K155" s="63">
        <v>69.66161</v>
      </c>
      <c r="L155" s="63">
        <v>65.85670400000001</v>
      </c>
      <c r="M155" s="63">
        <v>69.270996</v>
      </c>
      <c r="N155" s="63">
        <v>70.355268</v>
      </c>
      <c r="O155" s="63">
        <v>68.378692</v>
      </c>
      <c r="P155" s="86"/>
      <c r="Q155" s="103">
        <v>73.1569773432784</v>
      </c>
      <c r="R155" s="103">
        <v>61.3822043633089</v>
      </c>
      <c r="S155" s="103">
        <v>82.5976567488689</v>
      </c>
      <c r="T155" s="103">
        <v>43.2346276190215</v>
      </c>
      <c r="U155" s="103">
        <v>72.6751476214751</v>
      </c>
      <c r="V155" s="86"/>
      <c r="W155" s="158">
        <v>73.5943334526155</v>
      </c>
      <c r="X155" s="158">
        <v>54.6959990522028</v>
      </c>
      <c r="Y155" s="158">
        <v>81.674342192474</v>
      </c>
      <c r="Z155" s="158">
        <v>45.2617706893306</v>
      </c>
      <c r="AA155" s="158">
        <v>71.2848951096932</v>
      </c>
      <c r="AB155" s="159"/>
      <c r="AC155" s="158">
        <v>71.5697984273211</v>
      </c>
      <c r="AD155" s="158">
        <v>62.4945104313136</v>
      </c>
      <c r="AE155" s="158">
        <v>84.6317347639814</v>
      </c>
      <c r="AF155" s="158">
        <v>44.7197321189213</v>
      </c>
      <c r="AG155" s="158">
        <v>71.7266863345693</v>
      </c>
      <c r="AH155" s="9"/>
      <c r="AI155" s="63">
        <v>71.3597895837726</v>
      </c>
      <c r="AJ155" s="63">
        <v>64.7496391838996</v>
      </c>
      <c r="AK155" s="63">
        <v>81.9194042129509</v>
      </c>
      <c r="AL155" s="63">
        <v>44.2809119743765</v>
      </c>
      <c r="AM155" s="63">
        <v>73.5988186810678</v>
      </c>
      <c r="AN155" s="9"/>
      <c r="AO155" s="50">
        <v>75.63927</v>
      </c>
      <c r="AP155" s="50">
        <v>63.35315</v>
      </c>
      <c r="AQ155" s="50">
        <v>83.68529</v>
      </c>
      <c r="AR155" s="50">
        <v>51.22078</v>
      </c>
      <c r="AS155" s="50">
        <v>74.40956</v>
      </c>
      <c r="AU155" s="50">
        <v>72.2924</v>
      </c>
      <c r="AV155" s="50">
        <v>59.65281</v>
      </c>
      <c r="AW155" s="50">
        <v>79.46177</v>
      </c>
      <c r="AX155" s="50">
        <v>43.15059</v>
      </c>
      <c r="AY155" s="50">
        <v>74.72595</v>
      </c>
      <c r="BA155" s="50">
        <v>71.75359</v>
      </c>
      <c r="BB155" s="50">
        <v>65.59448</v>
      </c>
      <c r="BC155" s="50">
        <v>83.49944</v>
      </c>
      <c r="BD155" s="50">
        <v>47.91164</v>
      </c>
      <c r="BE155" s="50">
        <v>77.59583</v>
      </c>
      <c r="BG155" s="50">
        <v>75.58276</v>
      </c>
      <c r="BH155" s="50">
        <v>66.79611</v>
      </c>
      <c r="BI155" s="50">
        <v>83.63285</v>
      </c>
      <c r="BJ155" s="50">
        <v>50.38034</v>
      </c>
      <c r="BK155" s="50">
        <v>75.38428</v>
      </c>
      <c r="BM155" s="50">
        <v>73.11226</v>
      </c>
      <c r="BN155" s="50">
        <v>68.12711</v>
      </c>
      <c r="BO155" s="50">
        <v>81.12536</v>
      </c>
      <c r="BP155" s="50">
        <v>43.8746</v>
      </c>
      <c r="BQ155" s="50">
        <v>75.65413</v>
      </c>
    </row>
    <row r="156" spans="1:69" ht="12.75">
      <c r="A156" s="2">
        <f>VLOOKUP(E156,'SHA cluster table data'!B147:C323,2,FALSE)</f>
        <v>144</v>
      </c>
      <c r="B156" s="2">
        <v>153</v>
      </c>
      <c r="C156" s="42" t="str">
        <f>VLOOKUP(E156,'SHA cluster table data'!$B$4:$G$171,6,FALSE)</f>
        <v>Q34</v>
      </c>
      <c r="D156" s="42" t="s">
        <v>204</v>
      </c>
      <c r="E156" s="71" t="s">
        <v>319</v>
      </c>
      <c r="F156" s="71">
        <v>153</v>
      </c>
      <c r="G156" s="104">
        <v>66.5075410619037</v>
      </c>
      <c r="H156" s="154">
        <f t="shared" si="4"/>
        <v>65.02274034296252</v>
      </c>
      <c r="I156" s="155">
        <f t="shared" si="5"/>
        <v>61.66942846281702</v>
      </c>
      <c r="J156" s="63">
        <v>60.65390301171915</v>
      </c>
      <c r="K156" s="63">
        <v>64.36073999999999</v>
      </c>
      <c r="L156" s="63">
        <v>57.601448000000005</v>
      </c>
      <c r="M156" s="63">
        <v>57.66626599999999</v>
      </c>
      <c r="N156" s="63">
        <v>63.62946800000001</v>
      </c>
      <c r="O156" s="63">
        <v>68.549334</v>
      </c>
      <c r="P156" s="86"/>
      <c r="Q156" s="103">
        <v>68.0384793270815</v>
      </c>
      <c r="R156" s="103">
        <v>56.6636637798087</v>
      </c>
      <c r="S156" s="103">
        <v>82.9553372963417</v>
      </c>
      <c r="T156" s="103">
        <v>47.2322734311315</v>
      </c>
      <c r="U156" s="103">
        <v>77.6479514751551</v>
      </c>
      <c r="V156" s="86"/>
      <c r="W156" s="158">
        <v>66.7017400033434</v>
      </c>
      <c r="X156" s="158">
        <v>59.232338835347</v>
      </c>
      <c r="Y156" s="158">
        <v>81.2830515001654</v>
      </c>
      <c r="Z156" s="158">
        <v>43.038426694092</v>
      </c>
      <c r="AA156" s="158">
        <v>74.8581446818648</v>
      </c>
      <c r="AB156" s="159"/>
      <c r="AC156" s="158">
        <v>65.4787991050571</v>
      </c>
      <c r="AD156" s="158">
        <v>56.536200586707</v>
      </c>
      <c r="AE156" s="158">
        <v>80.6183870783909</v>
      </c>
      <c r="AF156" s="158">
        <v>35.1749730600566</v>
      </c>
      <c r="AG156" s="158">
        <v>70.5387824838735</v>
      </c>
      <c r="AH156" s="9"/>
      <c r="AI156" s="63">
        <v>64.8024684839363</v>
      </c>
      <c r="AJ156" s="63">
        <v>55.3725723596746</v>
      </c>
      <c r="AK156" s="63">
        <v>80.7663280596441</v>
      </c>
      <c r="AL156" s="63">
        <v>35.0984701175877</v>
      </c>
      <c r="AM156" s="63">
        <v>67.229676037753</v>
      </c>
      <c r="AN156" s="9"/>
      <c r="AO156" s="50">
        <v>66.73925</v>
      </c>
      <c r="AP156" s="50">
        <v>58.53159</v>
      </c>
      <c r="AQ156" s="50">
        <v>79.72513</v>
      </c>
      <c r="AR156" s="50">
        <v>39.80224</v>
      </c>
      <c r="AS156" s="50">
        <v>77.00549</v>
      </c>
      <c r="AU156" s="50">
        <v>64.82674</v>
      </c>
      <c r="AV156" s="50">
        <v>50.45177</v>
      </c>
      <c r="AW156" s="50">
        <v>75.06731</v>
      </c>
      <c r="AX156" s="50">
        <v>32.78924</v>
      </c>
      <c r="AY156" s="50">
        <v>64.87218</v>
      </c>
      <c r="BA156" s="50">
        <v>60.32513</v>
      </c>
      <c r="BB156" s="50">
        <v>51.13006</v>
      </c>
      <c r="BC156" s="50">
        <v>71.95644</v>
      </c>
      <c r="BD156" s="50">
        <v>35.53947</v>
      </c>
      <c r="BE156" s="50">
        <v>69.38023</v>
      </c>
      <c r="BG156" s="50">
        <v>66.26335</v>
      </c>
      <c r="BH156" s="50">
        <v>58.75468</v>
      </c>
      <c r="BI156" s="50">
        <v>73.89575</v>
      </c>
      <c r="BJ156" s="50">
        <v>44.73729</v>
      </c>
      <c r="BK156" s="50">
        <v>74.49627</v>
      </c>
      <c r="BM156" s="50">
        <v>72.30491</v>
      </c>
      <c r="BN156" s="50">
        <v>60.92257</v>
      </c>
      <c r="BO156" s="50">
        <v>81.18269</v>
      </c>
      <c r="BP156" s="50">
        <v>49.72391</v>
      </c>
      <c r="BQ156" s="50">
        <v>78.61259</v>
      </c>
    </row>
    <row r="157" spans="1:69" ht="12.75">
      <c r="A157" s="2">
        <f>VLOOKUP(E157,'SHA cluster table data'!B148:C324,2,FALSE)</f>
        <v>145</v>
      </c>
      <c r="B157" s="2">
        <v>154</v>
      </c>
      <c r="C157" s="42" t="str">
        <f>VLOOKUP(E157,'SHA cluster table data'!$B$4:$G$171,6,FALSE)</f>
        <v>Q31</v>
      </c>
      <c r="D157" s="42" t="s">
        <v>205</v>
      </c>
      <c r="E157" s="71" t="s">
        <v>320</v>
      </c>
      <c r="F157" s="71">
        <v>154</v>
      </c>
      <c r="G157" s="104">
        <v>71.7648368762856</v>
      </c>
      <c r="H157" s="154">
        <f t="shared" si="4"/>
        <v>75.78235566295783</v>
      </c>
      <c r="I157" s="155">
        <f t="shared" si="5"/>
        <v>69.5005320407457</v>
      </c>
      <c r="J157" s="63">
        <v>68.14846522348569</v>
      </c>
      <c r="K157" s="63">
        <v>68.13055599999998</v>
      </c>
      <c r="L157" s="63">
        <v>70.18781</v>
      </c>
      <c r="M157" s="63">
        <v>68.797488</v>
      </c>
      <c r="N157" s="65" t="s">
        <v>426</v>
      </c>
      <c r="O157" s="63">
        <v>70.670478</v>
      </c>
      <c r="P157" s="86"/>
      <c r="Q157" s="103">
        <v>75.36700600187</v>
      </c>
      <c r="R157" s="103">
        <v>63.5183788292495</v>
      </c>
      <c r="S157" s="103">
        <v>86.6475364464796</v>
      </c>
      <c r="T157" s="103">
        <v>51.8559216439124</v>
      </c>
      <c r="U157" s="103">
        <v>81.4353414599163</v>
      </c>
      <c r="V157" s="86"/>
      <c r="W157" s="158">
        <v>78.1815943098521</v>
      </c>
      <c r="X157" s="158">
        <v>73.5286077387519</v>
      </c>
      <c r="Y157" s="158">
        <v>88.0231335647479</v>
      </c>
      <c r="Z157" s="158">
        <v>53.132655508611</v>
      </c>
      <c r="AA157" s="158">
        <v>86.0457871928262</v>
      </c>
      <c r="AB157" s="159"/>
      <c r="AC157" s="158">
        <v>77.2301639757733</v>
      </c>
      <c r="AD157" s="158">
        <v>64.9655569876715</v>
      </c>
      <c r="AE157" s="158">
        <v>80.7069470542242</v>
      </c>
      <c r="AF157" s="158">
        <v>44.7988293535975</v>
      </c>
      <c r="AG157" s="158">
        <v>79.801162832462</v>
      </c>
      <c r="AH157" s="9"/>
      <c r="AI157" s="63">
        <v>73.4383743808374</v>
      </c>
      <c r="AJ157" s="63">
        <v>63.0309142853674</v>
      </c>
      <c r="AK157" s="63">
        <v>83.6262114978537</v>
      </c>
      <c r="AL157" s="63">
        <v>46.5811057096003</v>
      </c>
      <c r="AM157" s="63">
        <v>74.0657202437696</v>
      </c>
      <c r="AN157" s="9"/>
      <c r="AO157" s="50">
        <v>75.24546</v>
      </c>
      <c r="AP157" s="50">
        <v>66.52204</v>
      </c>
      <c r="AQ157" s="50">
        <v>82.72662</v>
      </c>
      <c r="AR157" s="50">
        <v>43.16678</v>
      </c>
      <c r="AS157" s="50">
        <v>72.99188</v>
      </c>
      <c r="AU157" s="50">
        <v>76.42423</v>
      </c>
      <c r="AV157" s="50">
        <v>62.97992</v>
      </c>
      <c r="AW157" s="50">
        <v>84.67888</v>
      </c>
      <c r="AX157" s="50">
        <v>47.85848</v>
      </c>
      <c r="AY157" s="50">
        <v>78.99754</v>
      </c>
      <c r="BA157" s="50">
        <v>76.34631</v>
      </c>
      <c r="BB157" s="50">
        <v>61.87109</v>
      </c>
      <c r="BC157" s="50">
        <v>83.15047</v>
      </c>
      <c r="BD157" s="50">
        <v>45.83228</v>
      </c>
      <c r="BE157" s="50">
        <v>76.78729</v>
      </c>
      <c r="BG157" s="50" t="s">
        <v>426</v>
      </c>
      <c r="BH157" s="50" t="s">
        <v>426</v>
      </c>
      <c r="BI157" s="50" t="s">
        <v>426</v>
      </c>
      <c r="BJ157" s="50" t="s">
        <v>426</v>
      </c>
      <c r="BK157" s="68" t="s">
        <v>426</v>
      </c>
      <c r="BM157" s="50">
        <v>74.26797</v>
      </c>
      <c r="BN157" s="50">
        <v>66.64551</v>
      </c>
      <c r="BO157" s="50">
        <v>85.05552</v>
      </c>
      <c r="BP157" s="50">
        <v>48.99696</v>
      </c>
      <c r="BQ157" s="50">
        <v>78.38643</v>
      </c>
    </row>
    <row r="158" spans="1:69" ht="12.75">
      <c r="A158" s="2">
        <f>VLOOKUP(E158,'SHA cluster table data'!B149:C325,2,FALSE)</f>
        <v>146</v>
      </c>
      <c r="B158" s="2">
        <v>155</v>
      </c>
      <c r="C158" s="42" t="str">
        <f>VLOOKUP(E158,'SHA cluster table data'!$B$4:$G$171,6,FALSE)</f>
        <v>Q31</v>
      </c>
      <c r="D158" s="42" t="s">
        <v>256</v>
      </c>
      <c r="E158" s="71" t="s">
        <v>372</v>
      </c>
      <c r="F158" s="71">
        <v>155</v>
      </c>
      <c r="G158" s="104">
        <v>66.6690344778668</v>
      </c>
      <c r="H158" s="154">
        <f t="shared" si="4"/>
        <v>66.18113690116154</v>
      </c>
      <c r="I158" s="155">
        <f t="shared" si="5"/>
        <v>67.42400546411463</v>
      </c>
      <c r="J158" s="63">
        <v>63.233376557930704</v>
      </c>
      <c r="K158" s="63">
        <v>63.68028</v>
      </c>
      <c r="L158" s="63">
        <v>60.905747999999996</v>
      </c>
      <c r="M158" s="63">
        <v>66.406524</v>
      </c>
      <c r="N158" s="63">
        <v>66.727652</v>
      </c>
      <c r="O158" s="63">
        <v>69.281606</v>
      </c>
      <c r="P158" s="86"/>
      <c r="Q158" s="103">
        <v>67.5681652836262</v>
      </c>
      <c r="R158" s="103">
        <v>52.476701325731</v>
      </c>
      <c r="S158" s="103">
        <v>81.8611029072466</v>
      </c>
      <c r="T158" s="103">
        <v>52.0426086710572</v>
      </c>
      <c r="U158" s="103">
        <v>79.3965942016731</v>
      </c>
      <c r="V158" s="86"/>
      <c r="W158" s="158">
        <v>67.5637457288265</v>
      </c>
      <c r="X158" s="158">
        <v>58.3122177755262</v>
      </c>
      <c r="Y158" s="158">
        <v>82.6691804664296</v>
      </c>
      <c r="Z158" s="158">
        <v>47.550357098689</v>
      </c>
      <c r="AA158" s="158">
        <v>74.8101834363364</v>
      </c>
      <c r="AB158" s="159"/>
      <c r="AC158" s="158">
        <v>69.1511716338393</v>
      </c>
      <c r="AD158" s="158">
        <v>58.6770503159482</v>
      </c>
      <c r="AE158" s="158">
        <v>82.6494377948695</v>
      </c>
      <c r="AF158" s="158">
        <v>49.5911608490179</v>
      </c>
      <c r="AG158" s="158">
        <v>77.0512067268982</v>
      </c>
      <c r="AH158" s="9"/>
      <c r="AI158" s="63">
        <v>67.899806440999</v>
      </c>
      <c r="AJ158" s="63">
        <v>60.4188940790034</v>
      </c>
      <c r="AK158" s="63">
        <v>78.8774330970032</v>
      </c>
      <c r="AL158" s="63">
        <v>36.8949962799211</v>
      </c>
      <c r="AM158" s="63">
        <v>72.0757528927268</v>
      </c>
      <c r="AN158" s="9"/>
      <c r="AO158" s="50">
        <v>67.02415</v>
      </c>
      <c r="AP158" s="50">
        <v>54.57486</v>
      </c>
      <c r="AQ158" s="50">
        <v>79.2589</v>
      </c>
      <c r="AR158" s="50">
        <v>48.66711</v>
      </c>
      <c r="AS158" s="50">
        <v>68.87638</v>
      </c>
      <c r="AU158" s="50">
        <v>66.33422</v>
      </c>
      <c r="AV158" s="50">
        <v>53.06396</v>
      </c>
      <c r="AW158" s="50">
        <v>78.60951</v>
      </c>
      <c r="AX158" s="50">
        <v>36.27643</v>
      </c>
      <c r="AY158" s="50">
        <v>70.24462</v>
      </c>
      <c r="BA158" s="50">
        <v>68.82215</v>
      </c>
      <c r="BB158" s="50">
        <v>59.77466</v>
      </c>
      <c r="BC158" s="50">
        <v>83.0664</v>
      </c>
      <c r="BD158" s="50">
        <v>46.16573</v>
      </c>
      <c r="BE158" s="50">
        <v>74.20368</v>
      </c>
      <c r="BG158" s="50">
        <v>67.46613</v>
      </c>
      <c r="BH158" s="50">
        <v>59.51151</v>
      </c>
      <c r="BI158" s="50">
        <v>82.89348</v>
      </c>
      <c r="BJ158" s="50">
        <v>46.94864</v>
      </c>
      <c r="BK158" s="50">
        <v>76.8185</v>
      </c>
      <c r="BM158" s="50">
        <v>71.59486</v>
      </c>
      <c r="BN158" s="50">
        <v>63.80795</v>
      </c>
      <c r="BO158" s="50">
        <v>84.36381</v>
      </c>
      <c r="BP158" s="50">
        <v>49.9716</v>
      </c>
      <c r="BQ158" s="50">
        <v>76.66981</v>
      </c>
    </row>
    <row r="159" spans="1:69" ht="12.75">
      <c r="A159" s="2">
        <f>VLOOKUP(E159,'SHA cluster table data'!B150:C326,2,FALSE)</f>
        <v>147</v>
      </c>
      <c r="B159" s="1">
        <v>156</v>
      </c>
      <c r="C159" s="42" t="str">
        <f>VLOOKUP(E159,'SHA cluster table data'!$B$4:$G$171,6,FALSE)</f>
        <v>Q34</v>
      </c>
      <c r="D159" s="42" t="s">
        <v>65</v>
      </c>
      <c r="E159" s="71" t="s">
        <v>398</v>
      </c>
      <c r="F159" s="71">
        <v>156</v>
      </c>
      <c r="G159" s="104">
        <v>66.5489271042161</v>
      </c>
      <c r="H159" s="154">
        <f t="shared" si="4"/>
        <v>67.91485747471428</v>
      </c>
      <c r="I159" s="155">
        <f t="shared" si="5"/>
        <v>61.29813263733256</v>
      </c>
      <c r="J159" s="63">
        <v>61.99331278836426</v>
      </c>
      <c r="K159" s="63">
        <v>60.883593999999995</v>
      </c>
      <c r="L159" s="63">
        <v>55.68045000000001</v>
      </c>
      <c r="M159" s="63">
        <v>63.262254000000006</v>
      </c>
      <c r="N159" s="63">
        <v>63.61793</v>
      </c>
      <c r="O159" s="63">
        <v>66.472858</v>
      </c>
      <c r="P159" s="86"/>
      <c r="Q159" s="103">
        <v>68.5972802456682</v>
      </c>
      <c r="R159" s="103">
        <v>54.8083743362401</v>
      </c>
      <c r="S159" s="103">
        <v>83.3362392079046</v>
      </c>
      <c r="T159" s="103">
        <v>50.6406760713995</v>
      </c>
      <c r="U159" s="103">
        <v>75.3620656598683</v>
      </c>
      <c r="V159" s="86"/>
      <c r="W159" s="158">
        <v>68.25903752399</v>
      </c>
      <c r="X159" s="158">
        <v>58.9287555608347</v>
      </c>
      <c r="Y159" s="158">
        <v>82.3561961160184</v>
      </c>
      <c r="Z159" s="158">
        <v>50.8898296707244</v>
      </c>
      <c r="AA159" s="158">
        <v>79.1404685020039</v>
      </c>
      <c r="AB159" s="159"/>
      <c r="AC159" s="158">
        <v>63.1715998823075</v>
      </c>
      <c r="AD159" s="158">
        <v>49.5888749405046</v>
      </c>
      <c r="AE159" s="158">
        <v>80.6785388692736</v>
      </c>
      <c r="AF159" s="158">
        <v>39.7912895756389</v>
      </c>
      <c r="AG159" s="158">
        <v>73.2603599189382</v>
      </c>
      <c r="AH159" s="9"/>
      <c r="AI159" s="63">
        <v>65.3608763530076</v>
      </c>
      <c r="AJ159" s="63">
        <v>49.8402920933871</v>
      </c>
      <c r="AK159" s="63">
        <v>79.3259598652445</v>
      </c>
      <c r="AL159" s="63">
        <v>38.2167601670945</v>
      </c>
      <c r="AM159" s="63">
        <v>77.2226754630876</v>
      </c>
      <c r="AN159" s="9"/>
      <c r="AO159" s="50">
        <v>66.93449</v>
      </c>
      <c r="AP159" s="50">
        <v>54.62061</v>
      </c>
      <c r="AQ159" s="50">
        <v>80.11962</v>
      </c>
      <c r="AR159" s="50">
        <v>37.73964</v>
      </c>
      <c r="AS159" s="50">
        <v>65.00361</v>
      </c>
      <c r="AU159" s="50">
        <v>60.07921</v>
      </c>
      <c r="AV159" s="50">
        <v>46.48563</v>
      </c>
      <c r="AW159" s="50">
        <v>76.52946</v>
      </c>
      <c r="AX159" s="50">
        <v>31.97641</v>
      </c>
      <c r="AY159" s="50">
        <v>63.33154</v>
      </c>
      <c r="BA159" s="50">
        <v>69.46908</v>
      </c>
      <c r="BB159" s="50">
        <v>54.45969</v>
      </c>
      <c r="BC159" s="50">
        <v>76.70352</v>
      </c>
      <c r="BD159" s="50">
        <v>41.22702</v>
      </c>
      <c r="BE159" s="50">
        <v>74.45196</v>
      </c>
      <c r="BG159" s="50">
        <v>68.52144</v>
      </c>
      <c r="BH159" s="50">
        <v>57.82438</v>
      </c>
      <c r="BI159" s="50">
        <v>80.0868</v>
      </c>
      <c r="BJ159" s="50">
        <v>40.77602</v>
      </c>
      <c r="BK159" s="50">
        <v>70.88101</v>
      </c>
      <c r="BM159" s="50">
        <v>69.74887</v>
      </c>
      <c r="BN159" s="50">
        <v>57.22466</v>
      </c>
      <c r="BO159" s="50">
        <v>78.25343</v>
      </c>
      <c r="BP159" s="50">
        <v>47.97366</v>
      </c>
      <c r="BQ159" s="50">
        <v>79.16367</v>
      </c>
    </row>
    <row r="160" spans="1:69" ht="12.75">
      <c r="A160" s="2">
        <f>VLOOKUP(E160,'SHA cluster table data'!B151:C327,2,FALSE)</f>
        <v>148</v>
      </c>
      <c r="B160" s="2">
        <v>157</v>
      </c>
      <c r="C160" s="42" t="str">
        <f>VLOOKUP(E160,'SHA cluster table data'!$B$4:$G$171,6,FALSE)</f>
        <v>Q36</v>
      </c>
      <c r="D160" s="42" t="s">
        <v>241</v>
      </c>
      <c r="E160" s="71" t="s">
        <v>322</v>
      </c>
      <c r="F160" s="71">
        <v>157</v>
      </c>
      <c r="G160" s="104">
        <v>62.3176710924758</v>
      </c>
      <c r="H160" s="154">
        <f t="shared" si="4"/>
        <v>60.3225859843847</v>
      </c>
      <c r="I160" s="155">
        <f t="shared" si="5"/>
        <v>59.958891888432774</v>
      </c>
      <c r="J160" s="63">
        <v>61.59855197505917</v>
      </c>
      <c r="K160" s="63">
        <v>60.50492799999999</v>
      </c>
      <c r="L160" s="63">
        <v>60.53943400000001</v>
      </c>
      <c r="M160" s="63">
        <v>60.726164</v>
      </c>
      <c r="N160" s="63">
        <v>60.057</v>
      </c>
      <c r="O160" s="63">
        <v>59.468554000000005</v>
      </c>
      <c r="P160" s="86"/>
      <c r="Q160" s="103">
        <v>66.5879135205789</v>
      </c>
      <c r="R160" s="103">
        <v>47.4819253895286</v>
      </c>
      <c r="S160" s="103">
        <v>80.3923741121487</v>
      </c>
      <c r="T160" s="103">
        <v>44.5818429360834</v>
      </c>
      <c r="U160" s="103">
        <v>72.5442995040392</v>
      </c>
      <c r="V160" s="86"/>
      <c r="W160" s="158">
        <v>64.6229669231789</v>
      </c>
      <c r="X160" s="158">
        <v>48.2963168199745</v>
      </c>
      <c r="Y160" s="158">
        <v>80.5456301406424</v>
      </c>
      <c r="Z160" s="158">
        <v>41.6723915332268</v>
      </c>
      <c r="AA160" s="158">
        <v>66.4756245049009</v>
      </c>
      <c r="AB160" s="159"/>
      <c r="AC160" s="158">
        <v>65.7609130423249</v>
      </c>
      <c r="AD160" s="158">
        <v>41.2961153529525</v>
      </c>
      <c r="AE160" s="158">
        <v>83.1900988878259</v>
      </c>
      <c r="AF160" s="158">
        <v>41.1838524628393</v>
      </c>
      <c r="AG160" s="158">
        <v>68.3634796962213</v>
      </c>
      <c r="AH160" s="9"/>
      <c r="AI160" s="63">
        <v>65.078582002407</v>
      </c>
      <c r="AJ160" s="63">
        <v>48.9153672422135</v>
      </c>
      <c r="AK160" s="63">
        <v>80.2058166152887</v>
      </c>
      <c r="AL160" s="63">
        <v>43.8259464070569</v>
      </c>
      <c r="AM160" s="63">
        <v>69.9670476083298</v>
      </c>
      <c r="AN160" s="9"/>
      <c r="AO160" s="50">
        <v>64.25618</v>
      </c>
      <c r="AP160" s="50">
        <v>51.64737</v>
      </c>
      <c r="AQ160" s="50">
        <v>80.1364</v>
      </c>
      <c r="AR160" s="50">
        <v>41.58692</v>
      </c>
      <c r="AS160" s="50">
        <v>64.89777</v>
      </c>
      <c r="AU160" s="50">
        <v>64.52628</v>
      </c>
      <c r="AV160" s="50">
        <v>53.02182</v>
      </c>
      <c r="AW160" s="50">
        <v>79.81356</v>
      </c>
      <c r="AX160" s="50">
        <v>40.4668</v>
      </c>
      <c r="AY160" s="50">
        <v>64.86871</v>
      </c>
      <c r="BA160" s="50">
        <v>66.48463</v>
      </c>
      <c r="BB160" s="50">
        <v>52.46361</v>
      </c>
      <c r="BC160" s="50">
        <v>80.7426</v>
      </c>
      <c r="BD160" s="50">
        <v>39.0714</v>
      </c>
      <c r="BE160" s="50">
        <v>64.86858</v>
      </c>
      <c r="BG160" s="50">
        <v>63.65807</v>
      </c>
      <c r="BH160" s="50">
        <v>50.09638</v>
      </c>
      <c r="BI160" s="50">
        <v>81.09682</v>
      </c>
      <c r="BJ160" s="50">
        <v>39.18941</v>
      </c>
      <c r="BK160" s="50">
        <v>66.24432</v>
      </c>
      <c r="BM160" s="50">
        <v>63.55684</v>
      </c>
      <c r="BN160" s="50">
        <v>48.52745</v>
      </c>
      <c r="BO160" s="50">
        <v>77.88369</v>
      </c>
      <c r="BP160" s="50">
        <v>41.86205</v>
      </c>
      <c r="BQ160" s="50">
        <v>65.51274</v>
      </c>
    </row>
    <row r="161" spans="1:69" ht="12.75">
      <c r="A161" s="2">
        <f>VLOOKUP(E161,'SHA cluster table data'!B152:C328,2,FALSE)</f>
        <v>149</v>
      </c>
      <c r="B161" s="2">
        <v>158</v>
      </c>
      <c r="C161" s="42" t="str">
        <f>VLOOKUP(E161,'SHA cluster table data'!$B$4:$G$171,6,FALSE)</f>
        <v>Q34</v>
      </c>
      <c r="D161" s="42" t="s">
        <v>111</v>
      </c>
      <c r="E161" s="71" t="s">
        <v>323</v>
      </c>
      <c r="F161" s="71">
        <v>158</v>
      </c>
      <c r="G161" s="104">
        <v>70.4152975037003</v>
      </c>
      <c r="H161" s="154">
        <f t="shared" si="4"/>
        <v>68.37553480362628</v>
      </c>
      <c r="I161" s="155">
        <f t="shared" si="5"/>
        <v>65.48358754440517</v>
      </c>
      <c r="J161" s="63">
        <v>67.00687011272106</v>
      </c>
      <c r="K161" s="63">
        <v>68.682616</v>
      </c>
      <c r="L161" s="63">
        <v>64.068776</v>
      </c>
      <c r="M161" s="63">
        <v>69.239022</v>
      </c>
      <c r="N161" s="63">
        <v>68.222978</v>
      </c>
      <c r="O161" s="63">
        <v>68.237658</v>
      </c>
      <c r="P161" s="86"/>
      <c r="Q161" s="103">
        <v>77.4970628844749</v>
      </c>
      <c r="R161" s="103">
        <v>62.1199968861389</v>
      </c>
      <c r="S161" s="103">
        <v>85.8133563842454</v>
      </c>
      <c r="T161" s="103">
        <v>53.6786806000903</v>
      </c>
      <c r="U161" s="103">
        <v>72.9673907635519</v>
      </c>
      <c r="V161" s="86"/>
      <c r="W161" s="158">
        <v>73.6504284612416</v>
      </c>
      <c r="X161" s="158">
        <v>60.9971636711259</v>
      </c>
      <c r="Y161" s="158">
        <v>82.3425840608782</v>
      </c>
      <c r="Z161" s="158">
        <v>46.6852242143127</v>
      </c>
      <c r="AA161" s="158">
        <v>78.202273610573</v>
      </c>
      <c r="AB161" s="159"/>
      <c r="AC161" s="158">
        <v>70.7383353933856</v>
      </c>
      <c r="AD161" s="158">
        <v>62.203492454731</v>
      </c>
      <c r="AE161" s="158">
        <v>80.6485087396572</v>
      </c>
      <c r="AF161" s="158">
        <v>40.5415512706953</v>
      </c>
      <c r="AG161" s="158">
        <v>73.2860498635568</v>
      </c>
      <c r="AH161" s="9"/>
      <c r="AI161" s="63">
        <v>74.1407415863628</v>
      </c>
      <c r="AJ161" s="63">
        <v>63.9944538767988</v>
      </c>
      <c r="AK161" s="63">
        <v>82.2214087210463</v>
      </c>
      <c r="AL161" s="63">
        <v>42.243196693192</v>
      </c>
      <c r="AM161" s="63">
        <v>72.4345496862054</v>
      </c>
      <c r="AN161" s="9"/>
      <c r="AO161" s="50">
        <v>73.68414</v>
      </c>
      <c r="AP161" s="50">
        <v>62.32413</v>
      </c>
      <c r="AQ161" s="50">
        <v>82.97279</v>
      </c>
      <c r="AR161" s="50">
        <v>50.88603</v>
      </c>
      <c r="AS161" s="50">
        <v>73.54599</v>
      </c>
      <c r="AU161" s="50">
        <v>69.29198</v>
      </c>
      <c r="AV161" s="50">
        <v>55.7252</v>
      </c>
      <c r="AW161" s="50">
        <v>79.40239</v>
      </c>
      <c r="AX161" s="50">
        <v>45.23487</v>
      </c>
      <c r="AY161" s="50">
        <v>70.68944</v>
      </c>
      <c r="BA161" s="50">
        <v>74.37126</v>
      </c>
      <c r="BB161" s="50">
        <v>63.51207</v>
      </c>
      <c r="BC161" s="50">
        <v>81.47212</v>
      </c>
      <c r="BD161" s="50">
        <v>52.31811</v>
      </c>
      <c r="BE161" s="50">
        <v>74.52155</v>
      </c>
      <c r="BG161" s="50">
        <v>74.00244</v>
      </c>
      <c r="BH161" s="50">
        <v>63.31236</v>
      </c>
      <c r="BI161" s="50">
        <v>80.81795</v>
      </c>
      <c r="BJ161" s="50">
        <v>48.42667</v>
      </c>
      <c r="BK161" s="50">
        <v>74.55547</v>
      </c>
      <c r="BM161" s="50">
        <v>73.36246</v>
      </c>
      <c r="BN161" s="50">
        <v>63.50797</v>
      </c>
      <c r="BO161" s="50">
        <v>81.18017</v>
      </c>
      <c r="BP161" s="50">
        <v>46.79463</v>
      </c>
      <c r="BQ161" s="50">
        <v>76.34306</v>
      </c>
    </row>
    <row r="162" spans="1:98" ht="12.75">
      <c r="A162" s="2">
        <f>VLOOKUP(E162,'SHA cluster table data'!B153:C329,2,FALSE)</f>
        <v>150</v>
      </c>
      <c r="B162" s="2">
        <v>159</v>
      </c>
      <c r="C162" s="42" t="str">
        <f>VLOOKUP(E162,'SHA cluster table data'!$B$4:$G$171,6,FALSE)</f>
        <v>Q39</v>
      </c>
      <c r="D162" s="42" t="s">
        <v>114</v>
      </c>
      <c r="E162" s="71" t="s">
        <v>115</v>
      </c>
      <c r="F162" s="71">
        <v>159</v>
      </c>
      <c r="G162" s="104">
        <v>65.7198784760059</v>
      </c>
      <c r="H162" s="154">
        <f t="shared" si="4"/>
        <v>64.36688404627314</v>
      </c>
      <c r="I162" s="155">
        <f t="shared" si="5"/>
        <v>67.26078467493764</v>
      </c>
      <c r="J162" s="106">
        <v>63.8924726454015</v>
      </c>
      <c r="K162" s="106" t="s">
        <v>426</v>
      </c>
      <c r="L162" s="106" t="s">
        <v>426</v>
      </c>
      <c r="M162" s="106" t="s">
        <v>426</v>
      </c>
      <c r="N162" s="106" t="s">
        <v>426</v>
      </c>
      <c r="O162" s="106" t="s">
        <v>426</v>
      </c>
      <c r="P162" s="86"/>
      <c r="Q162" s="103">
        <v>72.3452352612443</v>
      </c>
      <c r="R162" s="103">
        <v>62.2542643359921</v>
      </c>
      <c r="S162" s="103">
        <v>81.4546795735917</v>
      </c>
      <c r="T162" s="103">
        <v>41.966283620219</v>
      </c>
      <c r="U162" s="103">
        <v>70.5789295889822</v>
      </c>
      <c r="V162" s="86"/>
      <c r="W162" s="158">
        <v>66.5859709073957</v>
      </c>
      <c r="X162" s="158">
        <v>55.2648080266076</v>
      </c>
      <c r="Y162" s="158">
        <v>80.5390722315751</v>
      </c>
      <c r="Z162" s="158">
        <v>44.7293325698264</v>
      </c>
      <c r="AA162" s="158">
        <v>74.7152364959609</v>
      </c>
      <c r="AB162" s="159"/>
      <c r="AC162" s="158">
        <v>72.5003428037627</v>
      </c>
      <c r="AD162" s="158">
        <v>64.9720653333752</v>
      </c>
      <c r="AE162" s="158">
        <v>83.6098144496299</v>
      </c>
      <c r="AF162" s="158">
        <v>42.0265314799278</v>
      </c>
      <c r="AG162" s="158">
        <v>73.1951693079926</v>
      </c>
      <c r="AH162" s="93"/>
      <c r="AI162" s="106">
        <v>68.7231194069605</v>
      </c>
      <c r="AJ162" s="106">
        <v>59.2172363292843</v>
      </c>
      <c r="AK162" s="106">
        <v>80.8640385366889</v>
      </c>
      <c r="AL162" s="106">
        <v>40.9548584291729</v>
      </c>
      <c r="AM162" s="106">
        <v>69.7031105249009</v>
      </c>
      <c r="AN162" s="93"/>
      <c r="AO162" s="43" t="s">
        <v>426</v>
      </c>
      <c r="AP162" s="43" t="s">
        <v>426</v>
      </c>
      <c r="AQ162" s="43" t="s">
        <v>426</v>
      </c>
      <c r="AR162" s="43" t="s">
        <v>426</v>
      </c>
      <c r="AS162" s="43" t="s">
        <v>426</v>
      </c>
      <c r="AT162" s="35"/>
      <c r="AU162" s="43" t="s">
        <v>426</v>
      </c>
      <c r="AV162" s="43" t="s">
        <v>426</v>
      </c>
      <c r="AW162" s="43" t="s">
        <v>426</v>
      </c>
      <c r="AX162" s="43" t="s">
        <v>426</v>
      </c>
      <c r="AY162" s="43" t="s">
        <v>426</v>
      </c>
      <c r="AZ162" s="35"/>
      <c r="BA162" s="43" t="s">
        <v>426</v>
      </c>
      <c r="BB162" s="43" t="s">
        <v>426</v>
      </c>
      <c r="BC162" s="43" t="s">
        <v>426</v>
      </c>
      <c r="BD162" s="43" t="s">
        <v>426</v>
      </c>
      <c r="BE162" s="43" t="s">
        <v>426</v>
      </c>
      <c r="BF162" s="35"/>
      <c r="BG162" s="43" t="s">
        <v>426</v>
      </c>
      <c r="BH162" s="43" t="s">
        <v>426</v>
      </c>
      <c r="BI162" s="43" t="s">
        <v>426</v>
      </c>
      <c r="BJ162" s="43" t="s">
        <v>426</v>
      </c>
      <c r="BK162" s="43" t="s">
        <v>426</v>
      </c>
      <c r="BL162" s="35"/>
      <c r="BM162" s="43" t="s">
        <v>426</v>
      </c>
      <c r="BN162" s="43" t="s">
        <v>426</v>
      </c>
      <c r="BO162" s="43" t="s">
        <v>426</v>
      </c>
      <c r="BP162" s="43" t="s">
        <v>426</v>
      </c>
      <c r="BQ162" s="43" t="s">
        <v>426</v>
      </c>
      <c r="BR162" s="35"/>
      <c r="BS162" s="35"/>
      <c r="BT162" s="35"/>
      <c r="BU162" s="35"/>
      <c r="BV162" s="35"/>
      <c r="BW162" s="35"/>
      <c r="BX162" s="35"/>
      <c r="BY162" s="35"/>
      <c r="BZ162" s="35"/>
      <c r="CA162" s="35"/>
      <c r="CB162" s="35"/>
      <c r="CC162" s="35"/>
      <c r="CD162" s="35"/>
      <c r="CE162" s="35"/>
      <c r="CF162" s="35"/>
      <c r="CG162" s="35"/>
      <c r="CH162" s="35"/>
      <c r="CI162" s="35"/>
      <c r="CJ162" s="35"/>
      <c r="CK162" s="35"/>
      <c r="CL162" s="35"/>
      <c r="CM162" s="35"/>
      <c r="CN162" s="35"/>
      <c r="CO162" s="35"/>
      <c r="CP162" s="35"/>
      <c r="CQ162" s="35"/>
      <c r="CR162" s="35"/>
      <c r="CS162" s="35"/>
      <c r="CT162" s="35"/>
    </row>
    <row r="163" spans="1:69" ht="12.75">
      <c r="A163" s="2">
        <f>VLOOKUP(E163,'SHA cluster table data'!B154:C330,2,FALSE)</f>
        <v>151</v>
      </c>
      <c r="B163" s="1">
        <v>160</v>
      </c>
      <c r="C163" s="42" t="str">
        <f>VLOOKUP(E163,'SHA cluster table data'!$B$4:$G$171,6,FALSE)</f>
        <v>Q39</v>
      </c>
      <c r="D163" s="42" t="s">
        <v>206</v>
      </c>
      <c r="E163" s="71" t="s">
        <v>324</v>
      </c>
      <c r="F163" s="71">
        <v>160</v>
      </c>
      <c r="G163" s="104">
        <v>63.2155157483191</v>
      </c>
      <c r="H163" s="154">
        <f t="shared" si="4"/>
        <v>64.745281395487</v>
      </c>
      <c r="I163" s="155">
        <f t="shared" si="5"/>
        <v>65.7953314643172</v>
      </c>
      <c r="J163" s="63">
        <v>63.418399590603386</v>
      </c>
      <c r="K163" s="63">
        <v>61.183902</v>
      </c>
      <c r="L163" s="63">
        <v>60.858678</v>
      </c>
      <c r="M163" s="63">
        <v>64.724336</v>
      </c>
      <c r="N163" s="63">
        <v>66.053222</v>
      </c>
      <c r="O163" s="63">
        <v>65.24240599999999</v>
      </c>
      <c r="P163" s="86"/>
      <c r="Q163" s="103">
        <v>66.252285379827</v>
      </c>
      <c r="R163" s="103">
        <v>57.7499925008417</v>
      </c>
      <c r="S163" s="103">
        <v>80.9063809529187</v>
      </c>
      <c r="T163" s="103">
        <v>42.0015582134859</v>
      </c>
      <c r="U163" s="103">
        <v>69.1673616945222</v>
      </c>
      <c r="V163" s="86"/>
      <c r="W163" s="158">
        <v>71.1676539264911</v>
      </c>
      <c r="X163" s="158">
        <v>55.181845396727</v>
      </c>
      <c r="Y163" s="158">
        <v>83.4368481819933</v>
      </c>
      <c r="Z163" s="158">
        <v>44.2731519368074</v>
      </c>
      <c r="AA163" s="158">
        <v>69.6669075354162</v>
      </c>
      <c r="AB163" s="159"/>
      <c r="AC163" s="158">
        <v>69.3267054897484</v>
      </c>
      <c r="AD163" s="158">
        <v>56.8043123971169</v>
      </c>
      <c r="AE163" s="158">
        <v>82.7289183504312</v>
      </c>
      <c r="AF163" s="158">
        <v>44.8164087679789</v>
      </c>
      <c r="AG163" s="158">
        <v>75.3003123163106</v>
      </c>
      <c r="AH163" s="9"/>
      <c r="AI163" s="63">
        <v>69.5298831253067</v>
      </c>
      <c r="AJ163" s="63">
        <v>60.1403984422077</v>
      </c>
      <c r="AK163" s="63">
        <v>82.1483443657981</v>
      </c>
      <c r="AL163" s="63">
        <v>39.6460176960476</v>
      </c>
      <c r="AM163" s="63">
        <v>65.6273543236568</v>
      </c>
      <c r="AN163" s="9"/>
      <c r="AO163" s="50">
        <v>70.10869</v>
      </c>
      <c r="AP163" s="50">
        <v>57.07986</v>
      </c>
      <c r="AQ163" s="50">
        <v>79.75932</v>
      </c>
      <c r="AR163" s="50">
        <v>32.8268</v>
      </c>
      <c r="AS163" s="50">
        <v>66.14484</v>
      </c>
      <c r="AU163" s="50">
        <v>65.946</v>
      </c>
      <c r="AV163" s="50">
        <v>55.48014</v>
      </c>
      <c r="AW163" s="50">
        <v>80.30038</v>
      </c>
      <c r="AX163" s="50">
        <v>35.61951</v>
      </c>
      <c r="AY163" s="50">
        <v>66.94736</v>
      </c>
      <c r="BA163" s="50">
        <v>70.16376</v>
      </c>
      <c r="BB163" s="50">
        <v>54.88893</v>
      </c>
      <c r="BC163" s="50">
        <v>81.29614</v>
      </c>
      <c r="BD163" s="50">
        <v>47.18502</v>
      </c>
      <c r="BE163" s="50">
        <v>70.08783</v>
      </c>
      <c r="BG163" s="50">
        <v>70.68911</v>
      </c>
      <c r="BH163" s="50">
        <v>58.06789</v>
      </c>
      <c r="BI163" s="50">
        <v>81.05057</v>
      </c>
      <c r="BJ163" s="50">
        <v>44.05076</v>
      </c>
      <c r="BK163" s="50">
        <v>76.40778</v>
      </c>
      <c r="BM163" s="50">
        <v>70.22034</v>
      </c>
      <c r="BN163" s="50">
        <v>59.90769</v>
      </c>
      <c r="BO163" s="50">
        <v>77.692</v>
      </c>
      <c r="BP163" s="50">
        <v>43.50565</v>
      </c>
      <c r="BQ163" s="50">
        <v>74.88635</v>
      </c>
    </row>
    <row r="164" spans="1:71" ht="12.75">
      <c r="A164" s="2">
        <f>VLOOKUP(E164,'SHA cluster table data'!B155:C331,2,FALSE)</f>
      </c>
      <c r="B164" s="2">
        <v>161</v>
      </c>
      <c r="C164" s="42" t="str">
        <f>VLOOKUP(E164,'SHA cluster table data'!$B$4:$G$171,6,FALSE)</f>
        <v>Q36</v>
      </c>
      <c r="D164" s="23" t="s">
        <v>1</v>
      </c>
      <c r="E164" s="71" t="s">
        <v>354</v>
      </c>
      <c r="F164" s="71">
        <v>161</v>
      </c>
      <c r="G164" s="104" t="s">
        <v>426</v>
      </c>
      <c r="H164" s="154">
        <f t="shared" si="4"/>
        <v>62.64716001255148</v>
      </c>
      <c r="I164" s="155">
        <f t="shared" si="5"/>
        <v>59.694197099453596</v>
      </c>
      <c r="J164" s="63">
        <v>63.29584246464502</v>
      </c>
      <c r="K164" s="63">
        <v>56.938324</v>
      </c>
      <c r="L164" s="63">
        <v>60.046834000000004</v>
      </c>
      <c r="M164" s="63">
        <v>59.129756</v>
      </c>
      <c r="N164" s="63">
        <v>61.182038</v>
      </c>
      <c r="O164" s="63">
        <v>58.250104</v>
      </c>
      <c r="P164" s="86"/>
      <c r="Q164" s="103" t="s">
        <v>426</v>
      </c>
      <c r="R164" s="103" t="s">
        <v>426</v>
      </c>
      <c r="S164" s="103" t="s">
        <v>426</v>
      </c>
      <c r="T164" s="103" t="s">
        <v>426</v>
      </c>
      <c r="U164" s="103" t="s">
        <v>426</v>
      </c>
      <c r="V164" s="86"/>
      <c r="W164" s="158">
        <v>64.7118175459734</v>
      </c>
      <c r="X164" s="158">
        <v>52.9366145885498</v>
      </c>
      <c r="Y164" s="158">
        <v>83.1045908533398</v>
      </c>
      <c r="Z164" s="158">
        <v>39.8364426730586</v>
      </c>
      <c r="AA164" s="158">
        <v>72.6463344018358</v>
      </c>
      <c r="AB164" s="159"/>
      <c r="AC164" s="158">
        <v>61.1201227386027</v>
      </c>
      <c r="AD164" s="158">
        <v>50.3953041350521</v>
      </c>
      <c r="AE164" s="158">
        <v>79.280016673549</v>
      </c>
      <c r="AF164" s="158">
        <v>39.7112214199816</v>
      </c>
      <c r="AG164" s="158">
        <v>67.9643205300826</v>
      </c>
      <c r="AH164" s="9"/>
      <c r="AI164" s="63">
        <v>65.6538357625259</v>
      </c>
      <c r="AJ164" s="63">
        <v>54.115590330787</v>
      </c>
      <c r="AK164" s="63">
        <v>81.5644538276195</v>
      </c>
      <c r="AL164" s="63">
        <v>43.3022637226713</v>
      </c>
      <c r="AM164" s="63">
        <v>71.8430686796214</v>
      </c>
      <c r="AN164" s="9"/>
      <c r="AO164" s="50">
        <v>63.0043</v>
      </c>
      <c r="AP164" s="50">
        <v>40.7009</v>
      </c>
      <c r="AQ164" s="50">
        <v>75.03777</v>
      </c>
      <c r="AR164" s="50">
        <v>40.46842</v>
      </c>
      <c r="AS164" s="50">
        <v>65.48023</v>
      </c>
      <c r="AU164" s="50">
        <v>64.66096</v>
      </c>
      <c r="AV164" s="50">
        <v>49.52471</v>
      </c>
      <c r="AW164" s="50">
        <v>76.76333</v>
      </c>
      <c r="AX164" s="50">
        <v>43.3478</v>
      </c>
      <c r="AY164" s="50">
        <v>65.93737</v>
      </c>
      <c r="BA164" s="50">
        <v>64.20267</v>
      </c>
      <c r="BB164" s="50">
        <v>52.58561</v>
      </c>
      <c r="BC164" s="50">
        <v>78.40096</v>
      </c>
      <c r="BD164" s="50">
        <v>33.84603</v>
      </c>
      <c r="BE164" s="50">
        <v>66.61351</v>
      </c>
      <c r="BG164" s="50">
        <v>68.5944</v>
      </c>
      <c r="BH164" s="50">
        <v>51.06621</v>
      </c>
      <c r="BI164" s="50">
        <v>78.40363</v>
      </c>
      <c r="BJ164" s="50">
        <v>40.61669</v>
      </c>
      <c r="BK164" s="50">
        <v>67.22926</v>
      </c>
      <c r="BM164" s="50">
        <v>64.79152</v>
      </c>
      <c r="BN164" s="50">
        <v>49.74699</v>
      </c>
      <c r="BO164" s="50">
        <v>74.106</v>
      </c>
      <c r="BP164" s="50">
        <v>36.21305</v>
      </c>
      <c r="BQ164" s="50">
        <v>66.39296</v>
      </c>
      <c r="BS164" s="172" t="s">
        <v>484</v>
      </c>
    </row>
    <row r="165" spans="1:71" ht="12.75">
      <c r="A165" s="2">
        <f>VLOOKUP(E165,'SHA cluster table data'!B168:C332,2,FALSE)</f>
      </c>
      <c r="B165" s="2">
        <v>162</v>
      </c>
      <c r="C165" s="42" t="str">
        <f>VLOOKUP(E165,'SHA cluster table data'!$B$4:$G$171,6,FALSE)</f>
        <v>Q39</v>
      </c>
      <c r="D165" s="213" t="s">
        <v>234</v>
      </c>
      <c r="E165" s="71" t="s">
        <v>376</v>
      </c>
      <c r="F165" s="71">
        <v>162</v>
      </c>
      <c r="G165" s="104" t="s">
        <v>426</v>
      </c>
      <c r="H165" s="154">
        <f t="shared" si="4"/>
        <v>68.99404783950365</v>
      </c>
      <c r="I165" s="155">
        <f t="shared" si="5"/>
        <v>66.6297013683351</v>
      </c>
      <c r="J165" s="63">
        <v>65.19955313697349</v>
      </c>
      <c r="K165" s="63">
        <v>68.127878</v>
      </c>
      <c r="L165" s="63">
        <v>66.24848999999999</v>
      </c>
      <c r="M165" s="63">
        <v>67.243876</v>
      </c>
      <c r="N165" s="63">
        <v>68.06951600000001</v>
      </c>
      <c r="O165" s="63">
        <v>70.440848</v>
      </c>
      <c r="P165" s="86"/>
      <c r="Q165" s="103" t="s">
        <v>426</v>
      </c>
      <c r="R165" s="103" t="s">
        <v>426</v>
      </c>
      <c r="S165" s="103" t="s">
        <v>426</v>
      </c>
      <c r="T165" s="103" t="s">
        <v>426</v>
      </c>
      <c r="U165" s="103" t="s">
        <v>426</v>
      </c>
      <c r="V165" s="86"/>
      <c r="W165" s="158">
        <v>74.2387249640513</v>
      </c>
      <c r="X165" s="158">
        <v>64.2383791771039</v>
      </c>
      <c r="Y165" s="158">
        <v>83.3788801470434</v>
      </c>
      <c r="Z165" s="158">
        <v>44.3012553946795</v>
      </c>
      <c r="AA165" s="158">
        <v>78.8129995146401</v>
      </c>
      <c r="AB165" s="159"/>
      <c r="AC165" s="158">
        <v>71.0265998384214</v>
      </c>
      <c r="AD165" s="158">
        <v>56.1647187860632</v>
      </c>
      <c r="AE165" s="158">
        <v>85.1999608175427</v>
      </c>
      <c r="AF165" s="158">
        <v>48.7163443043748</v>
      </c>
      <c r="AG165" s="158">
        <v>72.0408830952734</v>
      </c>
      <c r="AH165" s="9"/>
      <c r="AI165" s="63">
        <v>73.0879706654575</v>
      </c>
      <c r="AJ165" s="63">
        <v>54.7337257868117</v>
      </c>
      <c r="AK165" s="63">
        <v>79.4665533091709</v>
      </c>
      <c r="AL165" s="63">
        <v>45.6601124675956</v>
      </c>
      <c r="AM165" s="63">
        <v>73.0494034558317</v>
      </c>
      <c r="AN165" s="9"/>
      <c r="AO165" s="50">
        <v>72.02397</v>
      </c>
      <c r="AP165" s="50">
        <v>63.97631</v>
      </c>
      <c r="AQ165" s="50">
        <v>82.36108</v>
      </c>
      <c r="AR165" s="50">
        <v>48.42924</v>
      </c>
      <c r="AS165" s="50">
        <v>73.84879</v>
      </c>
      <c r="AU165" s="50">
        <v>72.33324</v>
      </c>
      <c r="AV165" s="50">
        <v>55.54166</v>
      </c>
      <c r="AW165" s="50">
        <v>78.71318</v>
      </c>
      <c r="AX165" s="50">
        <v>49.09311</v>
      </c>
      <c r="AY165" s="50">
        <v>75.56126</v>
      </c>
      <c r="BA165" s="50">
        <v>72.28932</v>
      </c>
      <c r="BB165" s="50">
        <v>56.30818</v>
      </c>
      <c r="BC165" s="50">
        <v>81.82508</v>
      </c>
      <c r="BD165" s="50">
        <v>50.67175</v>
      </c>
      <c r="BE165" s="50">
        <v>75.12505</v>
      </c>
      <c r="BG165" s="50">
        <v>74.74941</v>
      </c>
      <c r="BH165" s="50">
        <v>60.64431</v>
      </c>
      <c r="BI165" s="50">
        <v>81.92992</v>
      </c>
      <c r="BJ165" s="50">
        <v>48.87301</v>
      </c>
      <c r="BK165" s="50">
        <v>74.15093</v>
      </c>
      <c r="BM165" s="50">
        <v>75.3439</v>
      </c>
      <c r="BN165" s="50">
        <v>63.50365</v>
      </c>
      <c r="BO165" s="50">
        <v>83.85214</v>
      </c>
      <c r="BP165" s="50">
        <v>49.56042</v>
      </c>
      <c r="BQ165" s="50">
        <v>79.94413</v>
      </c>
      <c r="BS165" s="185" t="s">
        <v>489</v>
      </c>
    </row>
    <row r="166" spans="1:69" ht="12.75">
      <c r="A166" s="2">
        <f>VLOOKUP(E166,'SHA cluster table data'!B155:C333,2,FALSE)</f>
        <v>152</v>
      </c>
      <c r="B166" s="2">
        <v>163</v>
      </c>
      <c r="C166" s="42" t="str">
        <f>VLOOKUP(E166,'SHA cluster table data'!$B$4:$G$171,6,FALSE)</f>
        <v>Q31</v>
      </c>
      <c r="D166" s="42" t="s">
        <v>249</v>
      </c>
      <c r="E166" s="71" t="s">
        <v>343</v>
      </c>
      <c r="F166" s="71">
        <v>163</v>
      </c>
      <c r="G166" s="104">
        <v>71.1612822646633</v>
      </c>
      <c r="H166" s="154">
        <f t="shared" si="4"/>
        <v>67.41781186118433</v>
      </c>
      <c r="I166" s="155">
        <f t="shared" si="5"/>
        <v>65.13209353480018</v>
      </c>
      <c r="J166" s="63">
        <v>68.98387335839323</v>
      </c>
      <c r="K166" s="63">
        <v>65.871128</v>
      </c>
      <c r="L166" s="63">
        <v>65.462224</v>
      </c>
      <c r="M166" s="63">
        <v>68.579356</v>
      </c>
      <c r="N166" s="63">
        <v>69.672044</v>
      </c>
      <c r="O166" s="63">
        <v>70.836856</v>
      </c>
      <c r="P166" s="86"/>
      <c r="Q166" s="103">
        <v>71.5846552352624</v>
      </c>
      <c r="R166" s="103">
        <v>63.4610778047865</v>
      </c>
      <c r="S166" s="103">
        <v>84.686774364183</v>
      </c>
      <c r="T166" s="103">
        <v>54.1865525641521</v>
      </c>
      <c r="U166" s="103">
        <v>81.8873513549323</v>
      </c>
      <c r="V166" s="86"/>
      <c r="W166" s="158">
        <v>70.0794697236889</v>
      </c>
      <c r="X166" s="158">
        <v>57.461951678328</v>
      </c>
      <c r="Y166" s="158">
        <v>83.1118557848587</v>
      </c>
      <c r="Z166" s="158">
        <v>47.9536672484126</v>
      </c>
      <c r="AA166" s="158">
        <v>78.4821148706335</v>
      </c>
      <c r="AB166" s="159"/>
      <c r="AC166" s="158">
        <v>68.1413556598976</v>
      </c>
      <c r="AD166" s="158">
        <v>60.8188031638507</v>
      </c>
      <c r="AE166" s="158">
        <v>80.1604231489302</v>
      </c>
      <c r="AF166" s="158">
        <v>41.627466808661</v>
      </c>
      <c r="AG166" s="158">
        <v>74.9124188926614</v>
      </c>
      <c r="AH166" s="9"/>
      <c r="AI166" s="63">
        <v>71.7069209728559</v>
      </c>
      <c r="AJ166" s="63">
        <v>63.971426330808</v>
      </c>
      <c r="AK166" s="63">
        <v>81.4441124158346</v>
      </c>
      <c r="AL166" s="63">
        <v>49.4106658699729</v>
      </c>
      <c r="AM166" s="63">
        <v>78.3862412024948</v>
      </c>
      <c r="AN166" s="9"/>
      <c r="AO166" s="50">
        <v>70.83295</v>
      </c>
      <c r="AP166" s="50">
        <v>60.75037</v>
      </c>
      <c r="AQ166" s="50">
        <v>77.49972</v>
      </c>
      <c r="AR166" s="50">
        <v>43.36482</v>
      </c>
      <c r="AS166" s="50">
        <v>76.90778</v>
      </c>
      <c r="AU166" s="50">
        <v>70.11737</v>
      </c>
      <c r="AV166" s="50">
        <v>59.2712</v>
      </c>
      <c r="AW166" s="50">
        <v>79.39243</v>
      </c>
      <c r="AX166" s="50">
        <v>44.61081</v>
      </c>
      <c r="AY166" s="50">
        <v>73.91931</v>
      </c>
      <c r="BA166" s="50">
        <v>71.561</v>
      </c>
      <c r="BB166" s="50">
        <v>60.53757</v>
      </c>
      <c r="BC166" s="50">
        <v>81.97122</v>
      </c>
      <c r="BD166" s="50">
        <v>50.33745</v>
      </c>
      <c r="BE166" s="50">
        <v>78.48954</v>
      </c>
      <c r="BG166" s="50">
        <v>72.09483</v>
      </c>
      <c r="BH166" s="50">
        <v>62.8578</v>
      </c>
      <c r="BI166" s="50">
        <v>82.03686</v>
      </c>
      <c r="BJ166" s="50">
        <v>50.25242</v>
      </c>
      <c r="BK166" s="50">
        <v>81.11831</v>
      </c>
      <c r="BM166" s="50">
        <v>74.09538</v>
      </c>
      <c r="BN166" s="50">
        <v>65.55296</v>
      </c>
      <c r="BO166" s="50">
        <v>81.07018</v>
      </c>
      <c r="BP166" s="50">
        <v>54.25618</v>
      </c>
      <c r="BQ166" s="50">
        <v>79.20958</v>
      </c>
    </row>
    <row r="167" spans="1:69" ht="12.75">
      <c r="A167" s="2">
        <f>VLOOKUP(E167,'SHA cluster table data'!B156:C334,2,FALSE)</f>
        <v>153</v>
      </c>
      <c r="B167" s="1">
        <v>164</v>
      </c>
      <c r="C167" s="42" t="str">
        <f>VLOOKUP(E167,'SHA cluster table data'!$B$4:$G$171,6,FALSE)</f>
        <v>Q34</v>
      </c>
      <c r="D167" s="42" t="s">
        <v>224</v>
      </c>
      <c r="E167" s="71" t="s">
        <v>342</v>
      </c>
      <c r="F167" s="71">
        <v>164</v>
      </c>
      <c r="G167" s="104">
        <v>65.2251722172778</v>
      </c>
      <c r="H167" s="154">
        <f t="shared" si="4"/>
        <v>66.02561728140192</v>
      </c>
      <c r="I167" s="155">
        <f t="shared" si="5"/>
        <v>65.75648881989386</v>
      </c>
      <c r="J167" s="63">
        <v>64.06396881254868</v>
      </c>
      <c r="K167" s="63">
        <v>66.86050400000002</v>
      </c>
      <c r="L167" s="63">
        <v>67.070376</v>
      </c>
      <c r="M167" s="63">
        <v>64.436316</v>
      </c>
      <c r="N167" s="63">
        <v>67.10817599999999</v>
      </c>
      <c r="O167" s="63">
        <v>63.968653999999994</v>
      </c>
      <c r="P167" s="86"/>
      <c r="Q167" s="103">
        <v>69.7930469546938</v>
      </c>
      <c r="R167" s="103">
        <v>55.4195147690768</v>
      </c>
      <c r="S167" s="103">
        <v>83.9369064578013</v>
      </c>
      <c r="T167" s="103">
        <v>43.9390968147089</v>
      </c>
      <c r="U167" s="103">
        <v>73.037296090108</v>
      </c>
      <c r="V167" s="86"/>
      <c r="W167" s="158">
        <v>69.6886916190898</v>
      </c>
      <c r="X167" s="158">
        <v>59.2915278272468</v>
      </c>
      <c r="Y167" s="158">
        <v>79.641222056219</v>
      </c>
      <c r="Z167" s="158">
        <v>43.9234392415378</v>
      </c>
      <c r="AA167" s="158">
        <v>77.5832056629162</v>
      </c>
      <c r="AB167" s="159"/>
      <c r="AC167" s="158">
        <v>71.2833280878731</v>
      </c>
      <c r="AD167" s="158">
        <v>58.4864774516368</v>
      </c>
      <c r="AE167" s="158">
        <v>80.3050792843036</v>
      </c>
      <c r="AF167" s="158">
        <v>43.5516302518689</v>
      </c>
      <c r="AG167" s="158">
        <v>75.1559290237869</v>
      </c>
      <c r="AH167" s="9"/>
      <c r="AI167" s="63">
        <v>68.9272356569698</v>
      </c>
      <c r="AJ167" s="63">
        <v>56.1842597903918</v>
      </c>
      <c r="AK167" s="63">
        <v>80.6883183947418</v>
      </c>
      <c r="AL167" s="63">
        <v>43.9225976004415</v>
      </c>
      <c r="AM167" s="63">
        <v>70.5974326201985</v>
      </c>
      <c r="AN167" s="9"/>
      <c r="AO167" s="50">
        <v>72.27941</v>
      </c>
      <c r="AP167" s="50">
        <v>60.79002</v>
      </c>
      <c r="AQ167" s="50">
        <v>80.27042</v>
      </c>
      <c r="AR167" s="50">
        <v>48.48011</v>
      </c>
      <c r="AS167" s="50">
        <v>72.48256</v>
      </c>
      <c r="AU167" s="50">
        <v>72.79779</v>
      </c>
      <c r="AV167" s="50">
        <v>61.5713</v>
      </c>
      <c r="AW167" s="50">
        <v>82.6406</v>
      </c>
      <c r="AX167" s="50">
        <v>43.85788</v>
      </c>
      <c r="AY167" s="50">
        <v>74.48431</v>
      </c>
      <c r="BA167" s="50">
        <v>67.99735</v>
      </c>
      <c r="BB167" s="50">
        <v>57.242</v>
      </c>
      <c r="BC167" s="50">
        <v>79.4986</v>
      </c>
      <c r="BD167" s="50">
        <v>45.24734</v>
      </c>
      <c r="BE167" s="50">
        <v>72.19629</v>
      </c>
      <c r="BG167" s="50">
        <v>71.65784</v>
      </c>
      <c r="BH167" s="50">
        <v>57.29808</v>
      </c>
      <c r="BI167" s="50">
        <v>83.05856</v>
      </c>
      <c r="BJ167" s="50">
        <v>48.6724</v>
      </c>
      <c r="BK167" s="50">
        <v>74.854</v>
      </c>
      <c r="BM167" s="50">
        <v>69.66545</v>
      </c>
      <c r="BN167" s="50">
        <v>57.22822</v>
      </c>
      <c r="BO167" s="50">
        <v>80.91829</v>
      </c>
      <c r="BP167" s="50">
        <v>40.37149</v>
      </c>
      <c r="BQ167" s="50">
        <v>71.65982</v>
      </c>
    </row>
    <row r="168" spans="1:69" ht="12.75">
      <c r="A168" s="2">
        <f>VLOOKUP(E168,'SHA cluster table data'!B157:C335,2,FALSE)</f>
      </c>
      <c r="B168" s="2">
        <v>165</v>
      </c>
      <c r="C168" s="42" t="str">
        <f>VLOOKUP(E168,'SHA cluster table data'!$B$4:$G$171,6,FALSE)</f>
        <v>Q39</v>
      </c>
      <c r="D168" s="42" t="s">
        <v>15</v>
      </c>
      <c r="E168" s="71" t="s">
        <v>379</v>
      </c>
      <c r="F168" s="71">
        <v>165</v>
      </c>
      <c r="G168" s="104" t="s">
        <v>426</v>
      </c>
      <c r="H168" s="156" t="s">
        <v>426</v>
      </c>
      <c r="I168" s="157" t="s">
        <v>426</v>
      </c>
      <c r="J168" s="63" t="s">
        <v>426</v>
      </c>
      <c r="K168" s="63">
        <v>65.047362</v>
      </c>
      <c r="L168" s="63">
        <v>62.349900000000005</v>
      </c>
      <c r="M168" s="63">
        <v>66.224456</v>
      </c>
      <c r="N168" s="63">
        <v>65.066478</v>
      </c>
      <c r="O168" s="63">
        <v>66.820172</v>
      </c>
      <c r="P168" s="86"/>
      <c r="Q168" s="103" t="s">
        <v>426</v>
      </c>
      <c r="R168" s="103" t="s">
        <v>426</v>
      </c>
      <c r="S168" s="103" t="s">
        <v>426</v>
      </c>
      <c r="T168" s="103" t="s">
        <v>426</v>
      </c>
      <c r="U168" s="103" t="s">
        <v>426</v>
      </c>
      <c r="V168" s="86"/>
      <c r="W168" s="158" t="s">
        <v>426</v>
      </c>
      <c r="X168" s="158" t="s">
        <v>426</v>
      </c>
      <c r="Y168" s="158" t="s">
        <v>426</v>
      </c>
      <c r="Z168" s="158" t="s">
        <v>426</v>
      </c>
      <c r="AA168" s="158" t="s">
        <v>426</v>
      </c>
      <c r="AB168" s="159"/>
      <c r="AC168" s="158" t="s">
        <v>426</v>
      </c>
      <c r="AD168" s="158" t="s">
        <v>426</v>
      </c>
      <c r="AE168" s="158" t="s">
        <v>426</v>
      </c>
      <c r="AF168" s="158" t="s">
        <v>426</v>
      </c>
      <c r="AG168" s="158" t="s">
        <v>426</v>
      </c>
      <c r="AH168" s="9"/>
      <c r="AI168" s="63" t="s">
        <v>426</v>
      </c>
      <c r="AJ168" s="63" t="s">
        <v>426</v>
      </c>
      <c r="AK168" s="63" t="s">
        <v>426</v>
      </c>
      <c r="AL168" s="63" t="s">
        <v>426</v>
      </c>
      <c r="AM168" s="63" t="s">
        <v>426</v>
      </c>
      <c r="AN168" s="9"/>
      <c r="AO168" s="50">
        <v>70.57791</v>
      </c>
      <c r="AP168" s="50">
        <v>60.33054</v>
      </c>
      <c r="AQ168" s="50">
        <v>81.19756</v>
      </c>
      <c r="AR168" s="50">
        <v>42.40708</v>
      </c>
      <c r="AS168" s="50">
        <v>70.72372</v>
      </c>
      <c r="AU168" s="50">
        <v>67.76563</v>
      </c>
      <c r="AV168" s="50">
        <v>56.27661</v>
      </c>
      <c r="AW168" s="50">
        <v>79.47196</v>
      </c>
      <c r="AX168" s="50">
        <v>38.24947</v>
      </c>
      <c r="AY168" s="50">
        <v>69.98583</v>
      </c>
      <c r="BA168" s="50">
        <v>68.94946</v>
      </c>
      <c r="BB168" s="50">
        <v>64.14285</v>
      </c>
      <c r="BC168" s="50">
        <v>82.9539</v>
      </c>
      <c r="BD168" s="50">
        <v>41.54215</v>
      </c>
      <c r="BE168" s="50">
        <v>73.53392</v>
      </c>
      <c r="BG168" s="50">
        <v>71.09793</v>
      </c>
      <c r="BH168" s="50">
        <v>60.8012</v>
      </c>
      <c r="BI168" s="50">
        <v>79.71793</v>
      </c>
      <c r="BJ168" s="50">
        <v>39.71567</v>
      </c>
      <c r="BK168" s="50">
        <v>73.99966</v>
      </c>
      <c r="BM168" s="50">
        <v>69.25883</v>
      </c>
      <c r="BN168" s="50">
        <v>58.16193</v>
      </c>
      <c r="BO168" s="50">
        <v>80.7142</v>
      </c>
      <c r="BP168" s="50">
        <v>46.87123</v>
      </c>
      <c r="BQ168" s="50">
        <v>79.09467</v>
      </c>
    </row>
    <row r="169" spans="1:69" ht="12.75">
      <c r="A169" s="2">
        <f>VLOOKUP(E169,'SHA cluster table data'!B157:C336,2,FALSE)</f>
        <v>154</v>
      </c>
      <c r="B169" s="2">
        <v>166</v>
      </c>
      <c r="C169" s="42" t="str">
        <f>VLOOKUP(E169,'SHA cluster table data'!$B$4:$G$171,6,FALSE)</f>
        <v>Q31</v>
      </c>
      <c r="D169" s="42" t="s">
        <v>253</v>
      </c>
      <c r="E169" s="71" t="s">
        <v>356</v>
      </c>
      <c r="F169" s="71">
        <v>166</v>
      </c>
      <c r="G169" s="104">
        <v>68.3910765174098</v>
      </c>
      <c r="H169" s="154">
        <f t="shared" si="4"/>
        <v>64.08498854664553</v>
      </c>
      <c r="I169" s="155">
        <f t="shared" si="5"/>
        <v>62.730602303937665</v>
      </c>
      <c r="J169" s="63">
        <v>64.14164245068157</v>
      </c>
      <c r="K169" s="63">
        <v>67.36905</v>
      </c>
      <c r="L169" s="63">
        <v>63.062544</v>
      </c>
      <c r="M169" s="63">
        <v>65.887668</v>
      </c>
      <c r="N169" s="63">
        <v>66.681838</v>
      </c>
      <c r="O169" s="63">
        <v>65.406536</v>
      </c>
      <c r="P169" s="86"/>
      <c r="Q169" s="103">
        <v>74.7578673219232</v>
      </c>
      <c r="R169" s="103">
        <v>57.6889976850394</v>
      </c>
      <c r="S169" s="103">
        <v>85.945283110149</v>
      </c>
      <c r="T169" s="103">
        <v>46.1563848059517</v>
      </c>
      <c r="U169" s="103">
        <v>77.4068496639859</v>
      </c>
      <c r="V169" s="86"/>
      <c r="W169" s="158">
        <v>68.7610336611253</v>
      </c>
      <c r="X169" s="158">
        <v>55.765413926566</v>
      </c>
      <c r="Y169" s="158">
        <v>80.5136480169632</v>
      </c>
      <c r="Z169" s="158">
        <v>39.9747301566945</v>
      </c>
      <c r="AA169" s="158">
        <v>75.4101169718787</v>
      </c>
      <c r="AB169" s="159"/>
      <c r="AC169" s="158">
        <v>67.6561584121249</v>
      </c>
      <c r="AD169" s="158">
        <v>57.0817933610137</v>
      </c>
      <c r="AE169" s="158">
        <v>80.2443391076917</v>
      </c>
      <c r="AF169" s="158">
        <v>37.6202379828672</v>
      </c>
      <c r="AG169" s="158">
        <v>71.0504826559908</v>
      </c>
      <c r="AH169" s="9"/>
      <c r="AI169" s="63">
        <v>68.5381946614206</v>
      </c>
      <c r="AJ169" s="63">
        <v>58.3978409197517</v>
      </c>
      <c r="AK169" s="63">
        <v>78.6353487751617</v>
      </c>
      <c r="AL169" s="63">
        <v>42.4928544355422</v>
      </c>
      <c r="AM169" s="63">
        <v>72.6439734615316</v>
      </c>
      <c r="AN169" s="9"/>
      <c r="AO169" s="50">
        <v>70.91916</v>
      </c>
      <c r="AP169" s="50">
        <v>61.38958</v>
      </c>
      <c r="AQ169" s="50">
        <v>79.96765</v>
      </c>
      <c r="AR169" s="50">
        <v>46.4861</v>
      </c>
      <c r="AS169" s="50">
        <v>78.08276</v>
      </c>
      <c r="AU169" s="50">
        <v>67.03381</v>
      </c>
      <c r="AV169" s="50">
        <v>56.7388</v>
      </c>
      <c r="AW169" s="50">
        <v>78.46747</v>
      </c>
      <c r="AX169" s="50">
        <v>40.50186</v>
      </c>
      <c r="AY169" s="50">
        <v>72.57078</v>
      </c>
      <c r="BA169" s="50">
        <v>70.51519</v>
      </c>
      <c r="BB169" s="50">
        <v>57.9663</v>
      </c>
      <c r="BC169" s="50">
        <v>80.30562</v>
      </c>
      <c r="BD169" s="50">
        <v>45.1162</v>
      </c>
      <c r="BE169" s="50">
        <v>75.53503</v>
      </c>
      <c r="BG169" s="50">
        <v>69.05291</v>
      </c>
      <c r="BH169" s="50">
        <v>59.16152</v>
      </c>
      <c r="BI169" s="50">
        <v>79.88866</v>
      </c>
      <c r="BJ169" s="50">
        <v>50.02223</v>
      </c>
      <c r="BK169" s="50">
        <v>75.28387</v>
      </c>
      <c r="BM169" s="50">
        <v>69.57243</v>
      </c>
      <c r="BN169" s="50">
        <v>59.49097</v>
      </c>
      <c r="BO169" s="50">
        <v>80.04096</v>
      </c>
      <c r="BP169" s="50">
        <v>45.5108</v>
      </c>
      <c r="BQ169" s="50">
        <v>72.41752</v>
      </c>
    </row>
    <row r="170" spans="1:69" ht="12.75">
      <c r="A170" s="2">
        <f>VLOOKUP(E170,'SHA cluster table data'!B158:C337,2,FALSE)</f>
        <v>155</v>
      </c>
      <c r="B170" s="2">
        <v>167</v>
      </c>
      <c r="C170" s="42" t="str">
        <f>VLOOKUP(E170,'SHA cluster table data'!$B$4:$G$171,6,FALSE)</f>
        <v>Q39</v>
      </c>
      <c r="D170" s="42" t="s">
        <v>20</v>
      </c>
      <c r="E170" s="71" t="s">
        <v>91</v>
      </c>
      <c r="F170" s="71">
        <v>167</v>
      </c>
      <c r="G170" s="104">
        <v>70.621533573371</v>
      </c>
      <c r="H170" s="154">
        <f t="shared" si="4"/>
        <v>69.98197563621038</v>
      </c>
      <c r="I170" s="155">
        <f t="shared" si="5"/>
        <v>67.41980195249164</v>
      </c>
      <c r="J170" s="63">
        <v>67.0039096295134</v>
      </c>
      <c r="K170" s="63">
        <v>68.18771199999999</v>
      </c>
      <c r="L170" s="63">
        <v>69.80636000000001</v>
      </c>
      <c r="M170" s="63">
        <v>66.73214</v>
      </c>
      <c r="N170" s="63">
        <v>67.825528</v>
      </c>
      <c r="O170" s="63">
        <v>68.802188</v>
      </c>
      <c r="P170" s="86"/>
      <c r="Q170" s="103">
        <v>77.6674135861665</v>
      </c>
      <c r="R170" s="103">
        <v>60.9467183926711</v>
      </c>
      <c r="S170" s="103">
        <v>83.706051376193</v>
      </c>
      <c r="T170" s="103">
        <v>51.7767936926436</v>
      </c>
      <c r="U170" s="103">
        <v>79.0106908191809</v>
      </c>
      <c r="V170" s="86"/>
      <c r="W170" s="158">
        <v>76.0122812231568</v>
      </c>
      <c r="X170" s="158">
        <v>63.4632471715497</v>
      </c>
      <c r="Y170" s="158">
        <v>83.806729929555</v>
      </c>
      <c r="Z170" s="158">
        <v>49.8247745147461</v>
      </c>
      <c r="AA170" s="158">
        <v>76.8028453420443</v>
      </c>
      <c r="AB170" s="159"/>
      <c r="AC170" s="158">
        <v>73.7769689236843</v>
      </c>
      <c r="AD170" s="158">
        <v>59.9492980625378</v>
      </c>
      <c r="AE170" s="158">
        <v>85.1574301510513</v>
      </c>
      <c r="AF170" s="158">
        <v>45.3106683199967</v>
      </c>
      <c r="AG170" s="158">
        <v>72.9046443051881</v>
      </c>
      <c r="AH170" s="9"/>
      <c r="AI170" s="63">
        <v>72.105487752426</v>
      </c>
      <c r="AJ170" s="63">
        <v>57.8877910372222</v>
      </c>
      <c r="AK170" s="63">
        <v>84.3207215067102</v>
      </c>
      <c r="AL170" s="63">
        <v>43.785117907278</v>
      </c>
      <c r="AM170" s="63">
        <v>76.9204299439306</v>
      </c>
      <c r="AN170" s="9"/>
      <c r="AO170" s="50">
        <v>76.04113</v>
      </c>
      <c r="AP170" s="50">
        <v>60.8093</v>
      </c>
      <c r="AQ170" s="50">
        <v>84.02174</v>
      </c>
      <c r="AR170" s="50">
        <v>44.26942</v>
      </c>
      <c r="AS170" s="50">
        <v>75.79697</v>
      </c>
      <c r="AU170" s="50">
        <v>74.09786</v>
      </c>
      <c r="AV170" s="50">
        <v>66.19598</v>
      </c>
      <c r="AW170" s="50">
        <v>86.10971</v>
      </c>
      <c r="AX170" s="50">
        <v>48.59624</v>
      </c>
      <c r="AY170" s="50">
        <v>74.03201</v>
      </c>
      <c r="BA170" s="50">
        <v>73.47131</v>
      </c>
      <c r="BB170" s="50">
        <v>58.77011</v>
      </c>
      <c r="BC170" s="50">
        <v>84.16818</v>
      </c>
      <c r="BD170" s="50">
        <v>47.16689</v>
      </c>
      <c r="BE170" s="50">
        <v>70.08421</v>
      </c>
      <c r="BG170" s="50">
        <v>71.19849</v>
      </c>
      <c r="BH170" s="50">
        <v>61.36924</v>
      </c>
      <c r="BI170" s="50">
        <v>82.03891</v>
      </c>
      <c r="BJ170" s="50">
        <v>49.74498</v>
      </c>
      <c r="BK170" s="50">
        <v>74.77602</v>
      </c>
      <c r="BM170" s="50">
        <v>73.95537</v>
      </c>
      <c r="BN170" s="50">
        <v>60.18892</v>
      </c>
      <c r="BO170" s="50">
        <v>84.68839</v>
      </c>
      <c r="BP170" s="50">
        <v>47.26192</v>
      </c>
      <c r="BQ170" s="50">
        <v>77.91634</v>
      </c>
    </row>
    <row r="171" spans="1:71" ht="12.75">
      <c r="A171" s="2">
        <f>VLOOKUP(E171,'SHA cluster table data'!B159:C338,2,FALSE)</f>
        <v>156</v>
      </c>
      <c r="B171" s="1">
        <v>168</v>
      </c>
      <c r="C171" s="42" t="str">
        <f>VLOOKUP(E171,'SHA cluster table data'!$B$4:$G$171,6,FALSE)</f>
        <v>Q31</v>
      </c>
      <c r="D171" s="42" t="s">
        <v>257</v>
      </c>
      <c r="E171" s="71" t="s">
        <v>375</v>
      </c>
      <c r="F171" s="71">
        <v>168</v>
      </c>
      <c r="G171" s="104">
        <v>70.3930077029134</v>
      </c>
      <c r="H171" s="154">
        <f t="shared" si="4"/>
        <v>70.91556732096555</v>
      </c>
      <c r="I171" s="155">
        <f t="shared" si="5"/>
        <v>70.53936952855481</v>
      </c>
      <c r="J171" s="63">
        <v>68.27094491748935</v>
      </c>
      <c r="K171" s="63">
        <v>70.62980999999999</v>
      </c>
      <c r="L171" s="63">
        <v>70.31975400000002</v>
      </c>
      <c r="M171" s="63">
        <v>70.56326200000001</v>
      </c>
      <c r="N171" s="63">
        <v>70.92560399999999</v>
      </c>
      <c r="O171" s="63">
        <v>69.031496</v>
      </c>
      <c r="P171" s="86"/>
      <c r="Q171" s="103">
        <v>73.678932896225</v>
      </c>
      <c r="R171" s="103">
        <v>61.5918567669038</v>
      </c>
      <c r="S171" s="103">
        <v>83.1787117629525</v>
      </c>
      <c r="T171" s="103">
        <v>51.9947823444952</v>
      </c>
      <c r="U171" s="103">
        <v>81.5207547439904</v>
      </c>
      <c r="V171" s="86"/>
      <c r="W171" s="158">
        <v>76.2916093367492</v>
      </c>
      <c r="X171" s="158">
        <v>64.0220919092704</v>
      </c>
      <c r="Y171" s="158">
        <v>80.6277643115636</v>
      </c>
      <c r="Z171" s="158">
        <v>53.2814231702115</v>
      </c>
      <c r="AA171" s="158">
        <v>80.354947877033</v>
      </c>
      <c r="AB171" s="159"/>
      <c r="AC171" s="158">
        <v>74.5184483822886</v>
      </c>
      <c r="AD171" s="158">
        <v>60.0657351417481</v>
      </c>
      <c r="AE171" s="158">
        <v>82.743383188972</v>
      </c>
      <c r="AF171" s="158">
        <v>53.4694909027685</v>
      </c>
      <c r="AG171" s="158">
        <v>81.8997900269969</v>
      </c>
      <c r="AH171" s="9"/>
      <c r="AI171" s="63">
        <v>73.2108767856696</v>
      </c>
      <c r="AJ171" s="63">
        <v>61.2629636815481</v>
      </c>
      <c r="AK171" s="63">
        <v>79.9785255416788</v>
      </c>
      <c r="AL171" s="63">
        <v>51.0699305207112</v>
      </c>
      <c r="AM171" s="63">
        <v>75.832428057839</v>
      </c>
      <c r="AN171" s="9"/>
      <c r="AO171" s="50">
        <v>73.34894</v>
      </c>
      <c r="AP171" s="50">
        <v>62.79267</v>
      </c>
      <c r="AQ171" s="50">
        <v>80.46541</v>
      </c>
      <c r="AR171" s="50">
        <v>55.21988</v>
      </c>
      <c r="AS171" s="50">
        <v>81.32215</v>
      </c>
      <c r="AU171" s="50">
        <v>76.29748</v>
      </c>
      <c r="AV171" s="50">
        <v>60.86014</v>
      </c>
      <c r="AW171" s="50">
        <v>81.71156</v>
      </c>
      <c r="AX171" s="50">
        <v>52.35984</v>
      </c>
      <c r="AY171" s="50">
        <v>80.36975</v>
      </c>
      <c r="BA171" s="50">
        <v>75.63623</v>
      </c>
      <c r="BB171" s="50">
        <v>64.24634</v>
      </c>
      <c r="BC171" s="50">
        <v>82.72104</v>
      </c>
      <c r="BD171" s="50">
        <v>49.89012</v>
      </c>
      <c r="BE171" s="50">
        <v>80.32258</v>
      </c>
      <c r="BG171" s="50">
        <v>75.99048</v>
      </c>
      <c r="BH171" s="50">
        <v>66.66521</v>
      </c>
      <c r="BI171" s="50">
        <v>78.96625</v>
      </c>
      <c r="BJ171" s="50">
        <v>52.40108</v>
      </c>
      <c r="BK171" s="50">
        <v>80.605</v>
      </c>
      <c r="BM171" s="50">
        <v>73.01414</v>
      </c>
      <c r="BN171" s="50">
        <v>63.04079</v>
      </c>
      <c r="BO171" s="50">
        <v>78.15639</v>
      </c>
      <c r="BP171" s="50">
        <v>48.14816</v>
      </c>
      <c r="BQ171" s="50">
        <v>82.798</v>
      </c>
      <c r="BS171" s="185" t="s">
        <v>487</v>
      </c>
    </row>
    <row r="172" spans="4:6" ht="12.75">
      <c r="D172" s="1"/>
      <c r="E172" s="152"/>
      <c r="F172" s="152"/>
    </row>
    <row r="173" spans="4:81" s="1" customFormat="1" ht="12.75" customHeight="1">
      <c r="D173" s="176" t="s">
        <v>442</v>
      </c>
      <c r="E173" s="149"/>
      <c r="F173" s="149"/>
      <c r="G173" s="153">
        <f>AVERAGE(G4:G171)</f>
        <v>68.14077841256244</v>
      </c>
      <c r="H173" s="153">
        <f>AVERAGE(H4:H171)</f>
        <v>67.39441798261505</v>
      </c>
      <c r="I173" s="153">
        <f>AVERAGE(I4:I52,I54:I171)</f>
        <v>67.3071764625737</v>
      </c>
      <c r="J173" s="153">
        <f aca="true" t="shared" si="6" ref="J173:O173">AVERAGE(J4:J171)</f>
        <v>66.66561731595783</v>
      </c>
      <c r="K173" s="153">
        <f t="shared" si="6"/>
        <v>67.07058939393943</v>
      </c>
      <c r="L173" s="153">
        <f t="shared" si="6"/>
        <v>66.0239637300613</v>
      </c>
      <c r="M173" s="153">
        <f t="shared" si="6"/>
        <v>67.03382373006131</v>
      </c>
      <c r="N173" s="153">
        <f t="shared" si="6"/>
        <v>68.23142816455699</v>
      </c>
      <c r="O173" s="153">
        <f t="shared" si="6"/>
        <v>67.39599698765433</v>
      </c>
      <c r="P173" s="153"/>
      <c r="Q173" s="153">
        <f>AVERAGE(Q4:Q171)</f>
        <v>72.73242599254505</v>
      </c>
      <c r="R173" s="153">
        <f>AVERAGE(R4:R171)</f>
        <v>58.11745973810608</v>
      </c>
      <c r="S173" s="153">
        <f>AVERAGE(S4:S171)</f>
        <v>84.05351549523937</v>
      </c>
      <c r="T173" s="153">
        <f>AVERAGE(T4:T171)</f>
        <v>48.23804427589797</v>
      </c>
      <c r="U173" s="153">
        <f>AVERAGE(U4:U171)</f>
        <v>77.56244656102386</v>
      </c>
      <c r="V173" s="153"/>
      <c r="W173" s="153">
        <f>AVERAGE(W4:W171)</f>
        <v>70.96688976979736</v>
      </c>
      <c r="X173" s="153">
        <f>AVERAGE(X4:X171)</f>
        <v>59.11672352642703</v>
      </c>
      <c r="Y173" s="153">
        <f>AVERAGE(Y4:Y171)</f>
        <v>82.26571670488018</v>
      </c>
      <c r="Z173" s="153">
        <f>AVERAGE(Z4:Z171)</f>
        <v>47.63683625361874</v>
      </c>
      <c r="AA173" s="153">
        <f>AVERAGE(AA4:AA171)</f>
        <v>76.98592365835201</v>
      </c>
      <c r="AB173" s="110"/>
      <c r="AC173" s="153">
        <f>AVERAGE(AC4:AC171)</f>
        <v>70.62632189362077</v>
      </c>
      <c r="AD173" s="153">
        <f>AVERAGE(AD4:AD171)</f>
        <v>59.64599670961633</v>
      </c>
      <c r="AE173" s="153">
        <f>AVERAGE(AE4:AE171)</f>
        <v>81.32556726369816</v>
      </c>
      <c r="AF173" s="153">
        <f>AVERAGE(AF4:AF171)</f>
        <v>46.813040034836845</v>
      </c>
      <c r="AG173" s="153">
        <f>AVERAGE(AG4:AG171)</f>
        <v>75.98976060192233</v>
      </c>
      <c r="AH173" s="2"/>
      <c r="AI173" s="153">
        <f>AVERAGE(AI4:AI171)</f>
        <v>71.02524530056641</v>
      </c>
      <c r="AJ173" s="153">
        <f>AVERAGE(AJ4:AJ171)</f>
        <v>59.790170354132336</v>
      </c>
      <c r="AK173" s="153">
        <f>AVERAGE(AK4:AK171)</f>
        <v>81.18953254390269</v>
      </c>
      <c r="AL173" s="153">
        <f>AVERAGE(AL4:AL171)</f>
        <v>46.04107987825455</v>
      </c>
      <c r="AM173" s="153">
        <f>AVERAGE(AM4:AM171)</f>
        <v>75.2820585029331</v>
      </c>
      <c r="AN173" s="2"/>
      <c r="AO173" s="153">
        <f>AVERAGE(AO4:AO171)</f>
        <v>71.27920121212118</v>
      </c>
      <c r="AP173" s="153">
        <f>AVERAGE(AP4:AP171)</f>
        <v>60.03898793939398</v>
      </c>
      <c r="AQ173" s="153">
        <f>AVERAGE(AQ4:AQ171)</f>
        <v>81.10595000000006</v>
      </c>
      <c r="AR173" s="153">
        <f>AVERAGE(AR4:AR171)</f>
        <v>47.29190551515151</v>
      </c>
      <c r="AS173" s="153">
        <f>AVERAGE(AS4:AS171)</f>
        <v>75.63690230303028</v>
      </c>
      <c r="AT173" s="2"/>
      <c r="AU173" s="153">
        <f>AVERAGE(AU4:AU171)</f>
        <v>70.36543300613498</v>
      </c>
      <c r="AV173" s="153">
        <f>AVERAGE(AV4:AV171)</f>
        <v>59.131744785276055</v>
      </c>
      <c r="AW173" s="153">
        <f>AVERAGE(AW4:AW171)</f>
        <v>80.11666558282212</v>
      </c>
      <c r="AX173" s="153">
        <f>AVERAGE(AX4:AX171)</f>
        <v>45.780588343558286</v>
      </c>
      <c r="AY173" s="153">
        <f>AVERAGE(AY4:AY171)</f>
        <v>74.72538693251535</v>
      </c>
      <c r="AZ173" s="2"/>
      <c r="BA173" s="153">
        <f>AVERAGE(BA4:BA171)</f>
        <v>70.93408300613497</v>
      </c>
      <c r="BB173" s="153">
        <f>AVERAGE(BB4:BB171)</f>
        <v>60.4075298773006</v>
      </c>
      <c r="BC173" s="153">
        <f>AVERAGE(BC4:BC171)</f>
        <v>80.80326650306746</v>
      </c>
      <c r="BD173" s="153">
        <f>AVERAGE(BD4:BD171)</f>
        <v>46.72857993865032</v>
      </c>
      <c r="BE173" s="153">
        <f>AVERAGE(BE4:BE171)</f>
        <v>76.29565932515337</v>
      </c>
      <c r="BF173" s="2"/>
      <c r="BG173" s="153">
        <f>AVERAGE(BG4:BG171)</f>
        <v>71.89691443037974</v>
      </c>
      <c r="BH173" s="153">
        <f>AVERAGE(BH4:BH171)</f>
        <v>61.243150696202505</v>
      </c>
      <c r="BI173" s="153">
        <f>AVERAGE(BI4:BI171)</f>
        <v>81.74999968354432</v>
      </c>
      <c r="BJ173" s="153">
        <f>AVERAGE(BJ4:BJ171)</f>
        <v>49.21207449367088</v>
      </c>
      <c r="BK173" s="153">
        <f>AVERAGE(BK4:BK171)</f>
        <v>77.05500151898731</v>
      </c>
      <c r="BL173" s="2"/>
      <c r="BM173" s="153">
        <f>AVERAGE(BM4:BM171)</f>
        <v>70.87435512345681</v>
      </c>
      <c r="BN173" s="153">
        <f>AVERAGE(BN4:BN171)</f>
        <v>61.17673783950621</v>
      </c>
      <c r="BO173" s="153">
        <f>AVERAGE(BO4:BO171)</f>
        <v>80.34277709876547</v>
      </c>
      <c r="BP173" s="153">
        <f>AVERAGE(BP4:BP171)</f>
        <v>47.83513623456792</v>
      </c>
      <c r="BQ173" s="153">
        <f>AVERAGE(BQ4:BQ171)</f>
        <v>76.75097864197531</v>
      </c>
      <c r="BR173" s="13" t="s">
        <v>440</v>
      </c>
      <c r="BS173" s="153"/>
      <c r="BT173" s="153"/>
      <c r="BU173" s="153"/>
      <c r="BV173" s="153"/>
      <c r="BW173" s="153"/>
      <c r="BX173" s="2"/>
      <c r="BY173" s="153"/>
      <c r="BZ173" s="153"/>
      <c r="CA173" s="153"/>
      <c r="CB173" s="153"/>
      <c r="CC173" s="153"/>
    </row>
    <row r="174" spans="4:75" s="1" customFormat="1" ht="12.75">
      <c r="D174" s="149"/>
      <c r="E174" s="149"/>
      <c r="F174" s="149"/>
      <c r="G174" s="151"/>
      <c r="H174" s="151"/>
      <c r="I174" s="151"/>
      <c r="J174" s="266"/>
      <c r="K174" s="266"/>
      <c r="L174" s="266"/>
      <c r="M174" s="266"/>
      <c r="N174" s="266"/>
      <c r="O174" s="266"/>
      <c r="P174" s="111"/>
      <c r="Q174" s="111"/>
      <c r="R174" s="111"/>
      <c r="S174" s="111"/>
      <c r="T174" s="111"/>
      <c r="U174" s="111"/>
      <c r="V174" s="111"/>
      <c r="W174" s="111"/>
      <c r="X174" s="111"/>
      <c r="Y174" s="111"/>
      <c r="Z174" s="111"/>
      <c r="AA174" s="111"/>
      <c r="AB174" s="111"/>
      <c r="AC174" s="111"/>
      <c r="AD174" s="111"/>
      <c r="AE174" s="111"/>
      <c r="AF174" s="111"/>
      <c r="AG174" s="111"/>
      <c r="BW174" s="150"/>
    </row>
    <row r="175" spans="4:75" ht="12.75">
      <c r="D175" s="12"/>
      <c r="E175" s="12"/>
      <c r="F175" s="12"/>
      <c r="G175" s="12"/>
      <c r="H175" s="163"/>
      <c r="I175" s="163"/>
      <c r="J175" s="163"/>
      <c r="K175" s="163"/>
      <c r="L175" s="163"/>
      <c r="M175" s="163"/>
      <c r="N175" s="163"/>
      <c r="O175" s="163"/>
      <c r="BW175" s="13"/>
    </row>
    <row r="176" spans="4:75" ht="12.75">
      <c r="D176" s="12"/>
      <c r="E176" s="12"/>
      <c r="F176" s="12"/>
      <c r="G176" s="12"/>
      <c r="H176" s="162"/>
      <c r="I176" s="162"/>
      <c r="J176" s="162"/>
      <c r="K176" s="162"/>
      <c r="L176" s="162"/>
      <c r="M176" s="162"/>
      <c r="N176" s="162"/>
      <c r="O176" s="162"/>
      <c r="Q176" s="9"/>
      <c r="R176" s="9"/>
      <c r="S176" s="9"/>
      <c r="T176" s="9"/>
      <c r="U176" s="9"/>
      <c r="V176" s="9"/>
      <c r="BW176" s="13"/>
    </row>
    <row r="177" spans="4:75" ht="12.75">
      <c r="D177" s="12"/>
      <c r="E177" s="12"/>
      <c r="F177" s="12"/>
      <c r="G177" s="12"/>
      <c r="H177" s="12"/>
      <c r="I177" s="12"/>
      <c r="BW177" s="13"/>
    </row>
    <row r="178" spans="4:75" ht="12.75">
      <c r="D178" s="12"/>
      <c r="E178" s="12"/>
      <c r="F178" s="12"/>
      <c r="G178" s="12"/>
      <c r="H178" s="12"/>
      <c r="I178" s="12"/>
      <c r="BW178" s="13"/>
    </row>
    <row r="179" spans="4:75" ht="12.75">
      <c r="D179" s="12"/>
      <c r="E179" s="12"/>
      <c r="F179" s="12"/>
      <c r="G179" s="12"/>
      <c r="H179" s="12"/>
      <c r="I179" s="12"/>
      <c r="BW179" s="13"/>
    </row>
    <row r="180" spans="4:75" ht="12.75">
      <c r="D180" s="12"/>
      <c r="E180" s="12"/>
      <c r="F180" s="12"/>
      <c r="G180" s="12"/>
      <c r="H180" s="12"/>
      <c r="I180" s="12"/>
      <c r="BW180" s="13"/>
    </row>
    <row r="181" spans="4:75" ht="12.75">
      <c r="D181" s="12"/>
      <c r="E181" s="12"/>
      <c r="F181" s="12"/>
      <c r="G181" s="12"/>
      <c r="H181" s="12"/>
      <c r="I181" s="12"/>
      <c r="BW181" s="13"/>
    </row>
    <row r="182" spans="4:75" ht="12.75">
      <c r="D182" s="265" t="s">
        <v>209</v>
      </c>
      <c r="E182" s="265"/>
      <c r="F182" s="265"/>
      <c r="G182" s="265"/>
      <c r="H182" s="265"/>
      <c r="I182" s="265"/>
      <c r="J182" s="265"/>
      <c r="N182" s="60" t="s">
        <v>210</v>
      </c>
      <c r="O182" s="60"/>
      <c r="P182" s="60"/>
      <c r="Q182" s="60"/>
      <c r="R182" s="60"/>
      <c r="S182" s="60"/>
      <c r="T182" s="60"/>
      <c r="U182" s="60"/>
      <c r="V182" s="60"/>
      <c r="W182" s="60"/>
      <c r="AB182" s="60"/>
      <c r="AC182" s="60"/>
      <c r="AD182" s="60"/>
      <c r="AE182" s="60"/>
      <c r="AF182" s="60"/>
      <c r="AG182" s="60"/>
      <c r="BW182" s="13"/>
    </row>
    <row r="183" spans="3:75" ht="12.75">
      <c r="C183" s="74" t="s">
        <v>411</v>
      </c>
      <c r="D183" s="74">
        <v>2012</v>
      </c>
      <c r="E183" s="74">
        <v>2011</v>
      </c>
      <c r="F183" s="74">
        <v>2010</v>
      </c>
      <c r="G183" s="74">
        <v>2009</v>
      </c>
      <c r="H183" s="74">
        <v>2008</v>
      </c>
      <c r="I183" s="74">
        <v>2007</v>
      </c>
      <c r="J183" s="74">
        <v>2006</v>
      </c>
      <c r="K183" s="74">
        <v>2005</v>
      </c>
      <c r="L183" s="74">
        <v>2003</v>
      </c>
      <c r="N183" s="75" t="s">
        <v>411</v>
      </c>
      <c r="O183" s="75">
        <v>2012</v>
      </c>
      <c r="P183" s="75">
        <v>2011</v>
      </c>
      <c r="Q183" s="74">
        <v>2010</v>
      </c>
      <c r="R183" s="74">
        <v>2009</v>
      </c>
      <c r="S183" s="74">
        <v>2008</v>
      </c>
      <c r="T183" s="74">
        <v>2007</v>
      </c>
      <c r="U183" s="74">
        <v>2006</v>
      </c>
      <c r="V183" s="74">
        <v>2005</v>
      </c>
      <c r="W183" s="74">
        <v>2003</v>
      </c>
      <c r="AC183" s="112"/>
      <c r="AD183" s="112"/>
      <c r="AE183" s="112"/>
      <c r="AF183" s="112"/>
      <c r="AG183" s="112"/>
      <c r="AH183" s="112"/>
      <c r="AI183" s="112"/>
      <c r="AJ183" s="112"/>
      <c r="AK183" s="112"/>
      <c r="AL183" s="112"/>
      <c r="AM183" s="112"/>
      <c r="AN183" s="112"/>
      <c r="AO183" s="112"/>
      <c r="AP183" s="112"/>
      <c r="AQ183" s="112"/>
      <c r="AR183" s="112"/>
      <c r="BW183" s="13"/>
    </row>
    <row r="184" spans="3:44" ht="12.75">
      <c r="C184" s="74" t="s">
        <v>412</v>
      </c>
      <c r="D184" s="61">
        <f>SUMIF($C$4:$C$171,$C184,G$4:G$171)</f>
        <v>3314.7532449432206</v>
      </c>
      <c r="E184" s="61">
        <f>SUMIF($C$4:$C$171,$C184,H$4:H$171)</f>
        <v>3429.7652355429523</v>
      </c>
      <c r="F184" s="61">
        <f>SUMIF($C$4:$C$171,$C184,I$4:I$171)</f>
        <v>3412.5382055949904</v>
      </c>
      <c r="G184" s="61">
        <f>SUMIF($C$4:$C$171,C184,$J$4:$J$171)</f>
        <v>3376.1124355297698</v>
      </c>
      <c r="H184" s="61">
        <f>SUMIF($C$4:$C$171,C184,$K$4:$K$171)</f>
        <v>3421.2426159999995</v>
      </c>
      <c r="I184" s="61">
        <f>SUMIF($C$4:$C$171,C184,$L$4:$L$171)</f>
        <v>3358.6364159999994</v>
      </c>
      <c r="J184" s="61">
        <f>SUMIF($C$4:$C$171,C184,$M$4:$M$171)</f>
        <v>3405.842262</v>
      </c>
      <c r="K184" s="61">
        <f>SUMIF($C$4:$C$171,C184,$N$4:$N$171)</f>
        <v>3409.6025679999993</v>
      </c>
      <c r="L184" s="61">
        <f>SUMIF($C$4:$C$171,C184,$O$4:$O$171)</f>
        <v>3460.8362980000006</v>
      </c>
      <c r="N184" s="92" t="s">
        <v>412</v>
      </c>
      <c r="O184" s="174">
        <f>SUMPRODUCT(--($C$4:$C$171=$C184),--(G$4:G$171&lt;&gt;"-"))</f>
        <v>48</v>
      </c>
      <c r="P184" s="174">
        <f aca="true" t="shared" si="7" ref="P184:W184">SUMPRODUCT(--($C$4:$C$171=$C184),--(H$4:H$171&lt;&gt;"-"))</f>
        <v>50</v>
      </c>
      <c r="Q184" s="174">
        <f t="shared" si="7"/>
        <v>50</v>
      </c>
      <c r="R184" s="174">
        <f t="shared" si="7"/>
        <v>50</v>
      </c>
      <c r="S184" s="174">
        <f t="shared" si="7"/>
        <v>50</v>
      </c>
      <c r="T184" s="174">
        <f t="shared" si="7"/>
        <v>50</v>
      </c>
      <c r="U184" s="174">
        <f t="shared" si="7"/>
        <v>50</v>
      </c>
      <c r="V184" s="174">
        <f t="shared" si="7"/>
        <v>49</v>
      </c>
      <c r="W184" s="174">
        <f t="shared" si="7"/>
        <v>50</v>
      </c>
      <c r="AC184" s="62"/>
      <c r="AD184" s="62"/>
      <c r="AE184" s="62"/>
      <c r="AF184" s="62"/>
      <c r="AG184" s="62"/>
      <c r="AH184" s="62"/>
      <c r="AI184" s="62"/>
      <c r="AJ184" s="62"/>
      <c r="AK184" s="62"/>
      <c r="AL184" s="62"/>
      <c r="AM184" s="62"/>
      <c r="AN184" s="62"/>
      <c r="AO184" s="62"/>
      <c r="AP184" s="62"/>
      <c r="AQ184" s="1"/>
      <c r="AR184" s="1"/>
    </row>
    <row r="185" spans="3:44" ht="12.75">
      <c r="C185" s="74" t="s">
        <v>413</v>
      </c>
      <c r="D185" s="61">
        <f aca="true" t="shared" si="8" ref="D185:E187">SUMIF($C$4:$C$171,$C185,G$4:G$171)</f>
        <v>3048.0297890083193</v>
      </c>
      <c r="E185" s="61">
        <f t="shared" si="8"/>
        <v>3037.530934522474</v>
      </c>
      <c r="F185" s="61">
        <f>SUMIF($C$4:$C$171,$C185,I$4:I$171)-I53</f>
        <v>2958.0358958759984</v>
      </c>
      <c r="G185" s="61">
        <f>SUMIF($C$4:$C$171,C185,$J$4:$J$171)</f>
        <v>2998.262831101323</v>
      </c>
      <c r="H185" s="61">
        <f>SUMIF($C$4:$C$171,C185,$K$4:$K$171)</f>
        <v>3008.135044</v>
      </c>
      <c r="I185" s="61">
        <f>SUMIF($C$4:$C$171,C185,$L$4:$L$171)</f>
        <v>2973.7744979999998</v>
      </c>
      <c r="J185" s="61">
        <f>SUMIF($C$4:$C$171,C185,$M$4:$M$171)</f>
        <v>3050.836554000001</v>
      </c>
      <c r="K185" s="61">
        <f>SUMIF($C$4:$C$171,C185,$N$4:$N$171)</f>
        <v>2936.737865999999</v>
      </c>
      <c r="L185" s="61">
        <f>SUMIF($C$4:$C$171,C185,$O$4:$O$171)</f>
        <v>2964.5860979999993</v>
      </c>
      <c r="N185" s="92" t="s">
        <v>413</v>
      </c>
      <c r="O185" s="174">
        <f>SUMPRODUCT(--($C$4:$C$171=$C185),--(G$4:G$171&lt;&gt;"-"))</f>
        <v>45</v>
      </c>
      <c r="P185" s="174">
        <f>SUMPRODUCT(--($C$4:$C$171=$C185),--(H$4:H$171&lt;&gt;"-"))</f>
        <v>45</v>
      </c>
      <c r="Q185" s="174">
        <f>SUMPRODUCT(--($C$4:$C$171=$C185),--(I$4:I$171&lt;&gt;"-"))-1</f>
        <v>44</v>
      </c>
      <c r="R185" s="174">
        <f aca="true" t="shared" si="9" ref="R185:W185">SUMPRODUCT(--($C$4:$C$171=$C185),--(J$4:J$171&lt;&gt;"-"))</f>
        <v>45</v>
      </c>
      <c r="S185" s="174">
        <f t="shared" si="9"/>
        <v>45</v>
      </c>
      <c r="T185" s="174">
        <f t="shared" si="9"/>
        <v>45</v>
      </c>
      <c r="U185" s="174">
        <f t="shared" si="9"/>
        <v>45</v>
      </c>
      <c r="V185" s="174">
        <f t="shared" si="9"/>
        <v>43</v>
      </c>
      <c r="W185" s="174">
        <f t="shared" si="9"/>
        <v>44</v>
      </c>
      <c r="AC185" s="62"/>
      <c r="AD185" s="62"/>
      <c r="AE185" s="62"/>
      <c r="AF185" s="62"/>
      <c r="AG185" s="62"/>
      <c r="AH185" s="62"/>
      <c r="AI185" s="62"/>
      <c r="AJ185" s="62"/>
      <c r="AK185" s="62"/>
      <c r="AL185" s="62"/>
      <c r="AM185" s="62"/>
      <c r="AN185" s="62"/>
      <c r="AO185" s="62"/>
      <c r="AP185" s="1"/>
      <c r="AQ185" s="1"/>
      <c r="AR185" s="1"/>
    </row>
    <row r="186" spans="3:44" ht="12.75">
      <c r="C186" s="74" t="s">
        <v>414</v>
      </c>
      <c r="D186" s="61">
        <f t="shared" si="8"/>
        <v>1668.9699891133296</v>
      </c>
      <c r="E186" s="61">
        <f t="shared" si="8"/>
        <v>1754.959335391523</v>
      </c>
      <c r="F186" s="61">
        <f>SUMIF($C$4:$C$171,$C186,I$4:I$171)</f>
        <v>1746.3787573409495</v>
      </c>
      <c r="G186" s="61">
        <f>SUMIF($C$4:$C$171,C186,$J$4:$J$171)</f>
        <v>1738.5973558606063</v>
      </c>
      <c r="H186" s="61">
        <f>SUMIF($C$4:$C$171,C186,$K$4:$K$171)</f>
        <v>1860.099658</v>
      </c>
      <c r="I186" s="61">
        <f>SUMIF($C$4:$C$171,C186,$L$4:$L$171)</f>
        <v>1698.984182</v>
      </c>
      <c r="J186" s="61">
        <f>SUMIF($C$4:$C$171,C186,$M$4:$M$171)</f>
        <v>1765.10387</v>
      </c>
      <c r="K186" s="61">
        <f>SUMIF($C$4:$C$171,C186,$N$4:$N$171)</f>
        <v>1753.7408739999998</v>
      </c>
      <c r="L186" s="61">
        <f>SUMIF($C$4:$C$171,C186,$O$4:$O$171)</f>
        <v>1760.443724</v>
      </c>
      <c r="N186" s="92" t="s">
        <v>414</v>
      </c>
      <c r="O186" s="174">
        <f>SUMPRODUCT(--($C$4:$C$171=$C186),--(G$4:G$171&lt;&gt;"-"))</f>
        <v>25</v>
      </c>
      <c r="P186" s="174">
        <f aca="true" t="shared" si="10" ref="P186:W186">SUMPRODUCT(--($C$4:$C$171=$C186),--(H$4:H$171&lt;&gt;"-"))</f>
        <v>27</v>
      </c>
      <c r="Q186" s="174">
        <f t="shared" si="10"/>
        <v>27</v>
      </c>
      <c r="R186" s="174">
        <f t="shared" si="10"/>
        <v>27</v>
      </c>
      <c r="S186" s="174">
        <f t="shared" si="10"/>
        <v>29</v>
      </c>
      <c r="T186" s="174">
        <f t="shared" si="10"/>
        <v>27</v>
      </c>
      <c r="U186" s="174">
        <f t="shared" si="10"/>
        <v>28</v>
      </c>
      <c r="V186" s="174">
        <f t="shared" si="10"/>
        <v>27</v>
      </c>
      <c r="W186" s="174">
        <f t="shared" si="10"/>
        <v>28</v>
      </c>
      <c r="AC186" s="62"/>
      <c r="AD186" s="62"/>
      <c r="AE186" s="62"/>
      <c r="AF186" s="62"/>
      <c r="AG186" s="62"/>
      <c r="AH186" s="62"/>
      <c r="AI186" s="62"/>
      <c r="AJ186" s="62"/>
      <c r="AK186" s="62"/>
      <c r="AL186" s="62"/>
      <c r="AM186" s="62"/>
      <c r="AN186" s="62"/>
      <c r="AO186" s="62"/>
      <c r="AP186" s="1"/>
      <c r="AQ186" s="1"/>
      <c r="AR186" s="1"/>
    </row>
    <row r="187" spans="3:44" ht="12.75">
      <c r="C187" s="74" t="s">
        <v>415</v>
      </c>
      <c r="D187" s="61">
        <f t="shared" si="8"/>
        <v>2598.208409294874</v>
      </c>
      <c r="E187" s="61">
        <f t="shared" si="8"/>
        <v>2628.245789744073</v>
      </c>
      <c r="F187" s="61">
        <f>SUMIF($C$4:$C$171,$C187,I$4:I$171)</f>
        <v>2719.502551662424</v>
      </c>
      <c r="G187" s="61">
        <f>SUMIF($C$4:$C$171,C187,$J$4:$J$171)</f>
        <v>2686.85738269347</v>
      </c>
      <c r="H187" s="61">
        <f>SUMIF($C$4:$C$171,C187,$K$4:$K$171)</f>
        <v>2777.169932</v>
      </c>
      <c r="I187" s="61">
        <f>SUMIF($C$4:$C$171,C187,$L$4:$L$171)</f>
        <v>2730.5109920000004</v>
      </c>
      <c r="J187" s="61">
        <f>SUMIF($C$4:$C$171,C187,$M$4:$M$171)</f>
        <v>2704.7305819999997</v>
      </c>
      <c r="K187" s="61">
        <f>SUMIF($C$4:$C$171,C187,$N$4:$N$171)</f>
        <v>2680.484342</v>
      </c>
      <c r="L187" s="61">
        <f>SUMIF($C$4:$C$171,C187,$O$4:$O$171)</f>
        <v>2732.2853920000002</v>
      </c>
      <c r="N187" s="92" t="s">
        <v>415</v>
      </c>
      <c r="O187" s="174">
        <f>SUMPRODUCT(--($C$4:$C$171=$C187),--(G$4:G$171&lt;&gt;"-"))</f>
        <v>38</v>
      </c>
      <c r="P187" s="174">
        <f aca="true" t="shared" si="11" ref="P187:W187">SUMPRODUCT(--($C$4:$C$171=$C187),--(H$4:H$171&lt;&gt;"-"))</f>
        <v>39</v>
      </c>
      <c r="Q187" s="174">
        <f t="shared" si="11"/>
        <v>40</v>
      </c>
      <c r="R187" s="174">
        <f t="shared" si="11"/>
        <v>40</v>
      </c>
      <c r="S187" s="174">
        <f t="shared" si="11"/>
        <v>41</v>
      </c>
      <c r="T187" s="174">
        <f t="shared" si="11"/>
        <v>41</v>
      </c>
      <c r="U187" s="174">
        <f t="shared" si="11"/>
        <v>40</v>
      </c>
      <c r="V187" s="174">
        <f t="shared" si="11"/>
        <v>39</v>
      </c>
      <c r="W187" s="174">
        <f t="shared" si="11"/>
        <v>40</v>
      </c>
      <c r="AC187" s="62"/>
      <c r="AD187" s="62"/>
      <c r="AE187" s="62"/>
      <c r="AF187" s="62"/>
      <c r="AG187" s="62"/>
      <c r="AH187" s="62"/>
      <c r="AI187" s="62"/>
      <c r="AJ187" s="62"/>
      <c r="AK187" s="62"/>
      <c r="AL187" s="62"/>
      <c r="AM187" s="62"/>
      <c r="AN187" s="62"/>
      <c r="AO187" s="62"/>
      <c r="AP187" s="1"/>
      <c r="AQ187" s="1"/>
      <c r="AR187" s="1"/>
    </row>
    <row r="188" spans="4:23" s="177" customFormat="1" ht="12.75">
      <c r="D188" s="178">
        <f aca="true" t="shared" si="12" ref="D188:L188">SUM(D184:D187)</f>
        <v>10629.961432359743</v>
      </c>
      <c r="E188" s="178">
        <f t="shared" si="12"/>
        <v>10850.501295201022</v>
      </c>
      <c r="F188" s="178">
        <f t="shared" si="12"/>
        <v>10836.455410474364</v>
      </c>
      <c r="G188" s="178">
        <f t="shared" si="12"/>
        <v>10799.83000518517</v>
      </c>
      <c r="H188" s="178">
        <f t="shared" si="12"/>
        <v>11066.647250000002</v>
      </c>
      <c r="I188" s="178">
        <f t="shared" si="12"/>
        <v>10761.906088</v>
      </c>
      <c r="J188" s="178">
        <f t="shared" si="12"/>
        <v>10926.513268000002</v>
      </c>
      <c r="K188" s="178">
        <f t="shared" si="12"/>
        <v>10780.565649999999</v>
      </c>
      <c r="L188" s="178">
        <f t="shared" si="12"/>
        <v>10918.151512</v>
      </c>
      <c r="O188" s="179">
        <f aca="true" t="shared" si="13" ref="O188:W188">SUM(O184:O187)</f>
        <v>156</v>
      </c>
      <c r="P188" s="179">
        <f t="shared" si="13"/>
        <v>161</v>
      </c>
      <c r="Q188" s="179">
        <f t="shared" si="13"/>
        <v>161</v>
      </c>
      <c r="R188" s="179">
        <f t="shared" si="13"/>
        <v>162</v>
      </c>
      <c r="S188" s="179">
        <f t="shared" si="13"/>
        <v>165</v>
      </c>
      <c r="T188" s="179">
        <f t="shared" si="13"/>
        <v>163</v>
      </c>
      <c r="U188" s="179">
        <f t="shared" si="13"/>
        <v>163</v>
      </c>
      <c r="V188" s="179">
        <f t="shared" si="13"/>
        <v>158</v>
      </c>
      <c r="W188" s="179">
        <f t="shared" si="13"/>
        <v>162</v>
      </c>
    </row>
    <row r="189" spans="3:23" ht="12.75">
      <c r="C189" s="62"/>
      <c r="D189" s="60" t="s">
        <v>211</v>
      </c>
      <c r="F189" s="60"/>
      <c r="G189" s="60"/>
      <c r="H189" s="60"/>
      <c r="P189" s="180"/>
      <c r="Q189" s="180"/>
      <c r="R189" s="180"/>
      <c r="S189" s="180"/>
      <c r="T189" s="180"/>
      <c r="U189" s="180"/>
      <c r="V189" s="180"/>
      <c r="W189" s="180"/>
    </row>
    <row r="190" spans="3:12" ht="12.75">
      <c r="C190" s="74" t="s">
        <v>411</v>
      </c>
      <c r="D190" s="74">
        <v>2012</v>
      </c>
      <c r="E190" s="74">
        <v>2011</v>
      </c>
      <c r="F190" s="74">
        <v>2010</v>
      </c>
      <c r="G190" s="74">
        <v>2009</v>
      </c>
      <c r="H190" s="74">
        <v>2008</v>
      </c>
      <c r="I190" s="74">
        <v>2007</v>
      </c>
      <c r="J190" s="74">
        <v>2006</v>
      </c>
      <c r="K190" s="74">
        <v>2005</v>
      </c>
      <c r="L190" s="74">
        <v>2003</v>
      </c>
    </row>
    <row r="191" spans="3:16" ht="12.75">
      <c r="C191" s="74" t="s">
        <v>412</v>
      </c>
      <c r="D191" s="105">
        <f aca="true" t="shared" si="14" ref="D191:L192">D184/O184</f>
        <v>69.05735926965043</v>
      </c>
      <c r="E191" s="105">
        <f t="shared" si="14"/>
        <v>68.59530471085904</v>
      </c>
      <c r="F191" s="105">
        <f t="shared" si="14"/>
        <v>68.25076411189981</v>
      </c>
      <c r="G191" s="105">
        <f t="shared" si="14"/>
        <v>67.52224871059539</v>
      </c>
      <c r="H191" s="105">
        <f t="shared" si="14"/>
        <v>68.42485231999999</v>
      </c>
      <c r="I191" s="105">
        <f t="shared" si="14"/>
        <v>67.17272831999999</v>
      </c>
      <c r="J191" s="105">
        <f t="shared" si="14"/>
        <v>68.11684524</v>
      </c>
      <c r="K191" s="105">
        <f t="shared" si="14"/>
        <v>69.583725877551</v>
      </c>
      <c r="L191" s="105">
        <f t="shared" si="14"/>
        <v>69.21672596000002</v>
      </c>
      <c r="N191" s="202"/>
      <c r="O191" s="200"/>
      <c r="P191" s="201"/>
    </row>
    <row r="192" spans="3:16" ht="12.75">
      <c r="C192" s="74" t="s">
        <v>413</v>
      </c>
      <c r="D192" s="105">
        <f t="shared" si="14"/>
        <v>67.73399531129598</v>
      </c>
      <c r="E192" s="105">
        <f t="shared" si="14"/>
        <v>67.50068743383275</v>
      </c>
      <c r="F192" s="105">
        <f t="shared" si="14"/>
        <v>67.22808854263633</v>
      </c>
      <c r="G192" s="105">
        <f t="shared" si="14"/>
        <v>66.62806291336274</v>
      </c>
      <c r="H192" s="105">
        <f t="shared" si="14"/>
        <v>66.84744542222222</v>
      </c>
      <c r="I192" s="105">
        <f t="shared" si="14"/>
        <v>66.08387773333332</v>
      </c>
      <c r="J192" s="105">
        <f t="shared" si="14"/>
        <v>67.79636786666669</v>
      </c>
      <c r="K192" s="105">
        <f t="shared" si="14"/>
        <v>68.29622944186045</v>
      </c>
      <c r="L192" s="105">
        <f t="shared" si="14"/>
        <v>67.37695677272725</v>
      </c>
      <c r="N192" s="202"/>
      <c r="O192" s="200"/>
      <c r="P192" s="201"/>
    </row>
    <row r="193" spans="3:16" ht="12.75">
      <c r="C193" s="74" t="s">
        <v>414</v>
      </c>
      <c r="D193" s="105">
        <f>D186/O186</f>
        <v>66.75879956453318</v>
      </c>
      <c r="E193" s="105">
        <f aca="true" t="shared" si="15" ref="E193:L193">E186/P186</f>
        <v>64.99849390338974</v>
      </c>
      <c r="F193" s="105">
        <f t="shared" si="15"/>
        <v>64.68069471633146</v>
      </c>
      <c r="G193" s="105">
        <f t="shared" si="15"/>
        <v>64.39249466150393</v>
      </c>
      <c r="H193" s="105">
        <f t="shared" si="15"/>
        <v>64.14136751724138</v>
      </c>
      <c r="I193" s="105">
        <f t="shared" si="15"/>
        <v>62.92534007407407</v>
      </c>
      <c r="J193" s="105">
        <f t="shared" si="15"/>
        <v>63.03942392857142</v>
      </c>
      <c r="K193" s="105">
        <f t="shared" si="15"/>
        <v>64.9533657037037</v>
      </c>
      <c r="L193" s="105">
        <f t="shared" si="15"/>
        <v>62.87299014285714</v>
      </c>
      <c r="N193" s="202"/>
      <c r="O193" s="200"/>
      <c r="P193" s="201"/>
    </row>
    <row r="194" spans="3:16" ht="12.75">
      <c r="C194" s="74" t="s">
        <v>415</v>
      </c>
      <c r="D194" s="105">
        <f>D187/O187</f>
        <v>68.37390550775984</v>
      </c>
      <c r="E194" s="105">
        <f aca="true" t="shared" si="16" ref="E194:L194">E187/P187</f>
        <v>67.39091768574546</v>
      </c>
      <c r="F194" s="105">
        <f t="shared" si="16"/>
        <v>67.9875637915606</v>
      </c>
      <c r="G194" s="105">
        <f t="shared" si="16"/>
        <v>67.17143456733675</v>
      </c>
      <c r="H194" s="105">
        <f t="shared" si="16"/>
        <v>67.735852</v>
      </c>
      <c r="I194" s="105">
        <f t="shared" si="16"/>
        <v>66.59782907317074</v>
      </c>
      <c r="J194" s="105">
        <f t="shared" si="16"/>
        <v>67.61826454999999</v>
      </c>
      <c r="K194" s="105">
        <f t="shared" si="16"/>
        <v>68.73036774358975</v>
      </c>
      <c r="L194" s="105">
        <f t="shared" si="16"/>
        <v>68.3071348</v>
      </c>
      <c r="N194" s="202"/>
      <c r="O194" s="200"/>
      <c r="P194" s="201"/>
    </row>
    <row r="195" spans="4:8" ht="12.75">
      <c r="D195" s="12"/>
      <c r="E195" s="12"/>
      <c r="F195" s="12"/>
      <c r="G195" s="12"/>
      <c r="H195" s="12"/>
    </row>
    <row r="197" spans="3:9" ht="12.75">
      <c r="C197" s="194"/>
      <c r="D197" s="12"/>
      <c r="E197" s="12"/>
      <c r="F197" s="12"/>
      <c r="G197" s="12"/>
      <c r="H197" s="12"/>
      <c r="I197" s="12"/>
    </row>
    <row r="198" ht="12.75">
      <c r="C198" s="194"/>
    </row>
    <row r="199" ht="12.75">
      <c r="C199" s="194"/>
    </row>
    <row r="200" ht="12.75">
      <c r="C200" s="194"/>
    </row>
    <row r="201" ht="12.75">
      <c r="C201" s="160"/>
    </row>
    <row r="202" ht="12.75">
      <c r="C202" s="160"/>
    </row>
    <row r="203" spans="4:9" ht="12.75">
      <c r="D203" s="12"/>
      <c r="E203" s="12"/>
      <c r="F203" s="12"/>
      <c r="G203" s="12"/>
      <c r="H203" s="12"/>
      <c r="I203" s="12"/>
    </row>
    <row r="209" spans="6:9" ht="12.75">
      <c r="F209" s="12"/>
      <c r="G209" s="12"/>
      <c r="H209" s="12"/>
      <c r="I209" s="12"/>
    </row>
    <row r="215" spans="4:9" ht="12.75">
      <c r="D215" s="12"/>
      <c r="E215" s="12"/>
      <c r="F215" s="12"/>
      <c r="G215" s="12"/>
      <c r="H215" s="12"/>
      <c r="I215" s="12"/>
    </row>
    <row r="221" spans="4:9" ht="12.75">
      <c r="D221" s="12"/>
      <c r="E221" s="12"/>
      <c r="F221" s="12"/>
      <c r="G221" s="12"/>
      <c r="H221" s="12"/>
      <c r="I221" s="12"/>
    </row>
    <row r="227" spans="4:9" ht="12.75">
      <c r="D227" s="12"/>
      <c r="E227" s="12"/>
      <c r="F227" s="12"/>
      <c r="G227" s="12"/>
      <c r="H227" s="12"/>
      <c r="I227" s="12"/>
    </row>
    <row r="232" spans="4:9" ht="12.75">
      <c r="D232" s="12"/>
      <c r="E232" s="12"/>
      <c r="F232" s="12"/>
      <c r="G232" s="12"/>
      <c r="H232" s="12"/>
      <c r="I232" s="12"/>
    </row>
    <row r="238" spans="4:9" ht="12.75">
      <c r="D238" s="12"/>
      <c r="E238" s="12"/>
      <c r="F238" s="12"/>
      <c r="G238" s="12"/>
      <c r="H238" s="12"/>
      <c r="I238" s="12"/>
    </row>
    <row r="244" spans="4:9" ht="12.75">
      <c r="D244" s="12"/>
      <c r="E244" s="12"/>
      <c r="F244" s="12"/>
      <c r="G244" s="12"/>
      <c r="H244" s="12"/>
      <c r="I244" s="12"/>
    </row>
    <row r="250" spans="4:9" ht="12.75">
      <c r="D250" s="12"/>
      <c r="E250" s="12"/>
      <c r="F250" s="12"/>
      <c r="G250" s="12"/>
      <c r="H250" s="12"/>
      <c r="I250" s="12"/>
    </row>
    <row r="256" spans="4:9" ht="12.75">
      <c r="D256" s="12"/>
      <c r="E256" s="12"/>
      <c r="F256" s="12"/>
      <c r="G256" s="12"/>
      <c r="H256" s="12"/>
      <c r="I256" s="12"/>
    </row>
    <row r="262" spans="4:9" ht="12.75">
      <c r="D262" s="12"/>
      <c r="E262" s="12"/>
      <c r="F262" s="12"/>
      <c r="G262" s="12"/>
      <c r="H262" s="12"/>
      <c r="I262" s="12"/>
    </row>
    <row r="268" spans="4:9" ht="12.75">
      <c r="D268" s="12"/>
      <c r="E268" s="12"/>
      <c r="F268" s="12"/>
      <c r="G268" s="12"/>
      <c r="H268" s="12"/>
      <c r="I268" s="12"/>
    </row>
    <row r="274" spans="4:9" ht="12.75">
      <c r="D274" s="12"/>
      <c r="E274" s="12"/>
      <c r="F274" s="12"/>
      <c r="G274" s="12"/>
      <c r="H274" s="12"/>
      <c r="I274" s="12"/>
    </row>
    <row r="280" spans="4:9" ht="12.75">
      <c r="D280" s="12"/>
      <c r="E280" s="12"/>
      <c r="F280" s="12"/>
      <c r="G280" s="12"/>
      <c r="H280" s="12"/>
      <c r="I280" s="12"/>
    </row>
    <row r="286" spans="4:9" ht="12.75">
      <c r="D286" s="12"/>
      <c r="E286" s="12"/>
      <c r="F286" s="12"/>
      <c r="G286" s="12"/>
      <c r="H286" s="12"/>
      <c r="I286" s="12"/>
    </row>
    <row r="292" spans="4:9" ht="12.75">
      <c r="D292" s="12"/>
      <c r="E292" s="12"/>
      <c r="F292" s="12"/>
      <c r="G292" s="12"/>
      <c r="H292" s="12"/>
      <c r="I292" s="12"/>
    </row>
    <row r="298" spans="4:9" ht="12.75">
      <c r="D298" s="12"/>
      <c r="E298" s="12"/>
      <c r="F298" s="12"/>
      <c r="G298" s="12"/>
      <c r="H298" s="12"/>
      <c r="I298" s="12"/>
    </row>
    <row r="304" spans="4:9" ht="12.75">
      <c r="D304" s="12"/>
      <c r="E304" s="12"/>
      <c r="F304" s="12"/>
      <c r="G304" s="12"/>
      <c r="H304" s="12"/>
      <c r="I304" s="12"/>
    </row>
    <row r="310" spans="4:9" ht="12.75">
      <c r="D310" s="12"/>
      <c r="E310" s="12"/>
      <c r="F310" s="12"/>
      <c r="G310" s="12"/>
      <c r="H310" s="12"/>
      <c r="I310" s="12"/>
    </row>
    <row r="316" spans="4:9" ht="12.75">
      <c r="D316" s="12"/>
      <c r="E316" s="12"/>
      <c r="F316" s="12"/>
      <c r="G316" s="12"/>
      <c r="H316" s="12"/>
      <c r="I316" s="12"/>
    </row>
    <row r="322" spans="4:9" ht="12.75">
      <c r="D322" s="12"/>
      <c r="E322" s="12"/>
      <c r="F322" s="12"/>
      <c r="G322" s="12"/>
      <c r="H322" s="12"/>
      <c r="I322" s="12"/>
    </row>
    <row r="325" spans="4:9" ht="12.75">
      <c r="D325" s="12"/>
      <c r="E325" s="12"/>
      <c r="F325" s="12"/>
      <c r="G325" s="12"/>
      <c r="H325" s="12"/>
      <c r="I325" s="12"/>
    </row>
    <row r="331" spans="4:9" ht="12.75">
      <c r="D331" s="12"/>
      <c r="E331" s="12"/>
      <c r="F331" s="12"/>
      <c r="G331" s="12"/>
      <c r="H331" s="12"/>
      <c r="I331" s="12"/>
    </row>
    <row r="337" spans="4:9" ht="12.75">
      <c r="D337" s="12"/>
      <c r="E337" s="12"/>
      <c r="F337" s="12"/>
      <c r="G337" s="12"/>
      <c r="H337" s="12"/>
      <c r="I337" s="12"/>
    </row>
    <row r="343" spans="4:9" ht="12.75">
      <c r="D343" s="12"/>
      <c r="E343" s="12"/>
      <c r="F343" s="12"/>
      <c r="G343" s="12"/>
      <c r="H343" s="12"/>
      <c r="I343" s="12"/>
    </row>
    <row r="349" spans="4:9" ht="12.75">
      <c r="D349" s="12"/>
      <c r="E349" s="12"/>
      <c r="F349" s="12"/>
      <c r="G349" s="12"/>
      <c r="H349" s="12"/>
      <c r="I349" s="12"/>
    </row>
    <row r="355" spans="4:9" ht="12.75">
      <c r="D355" s="12"/>
      <c r="E355" s="12"/>
      <c r="F355" s="12"/>
      <c r="G355" s="12"/>
      <c r="H355" s="12"/>
      <c r="I355" s="12"/>
    </row>
    <row r="361" spans="4:9" ht="12.75">
      <c r="D361" s="12"/>
      <c r="E361" s="12"/>
      <c r="F361" s="12"/>
      <c r="G361" s="12"/>
      <c r="H361" s="12"/>
      <c r="I361" s="12"/>
    </row>
    <row r="367" spans="4:9" ht="12.75">
      <c r="D367" s="12"/>
      <c r="E367" s="12"/>
      <c r="F367" s="12"/>
      <c r="G367" s="12"/>
      <c r="H367" s="12"/>
      <c r="I367" s="12"/>
    </row>
    <row r="373" spans="4:9" ht="12.75">
      <c r="D373" s="12"/>
      <c r="E373" s="12"/>
      <c r="F373" s="12"/>
      <c r="G373" s="12"/>
      <c r="H373" s="12"/>
      <c r="I373" s="12"/>
    </row>
    <row r="379" spans="4:9" ht="12.75">
      <c r="D379" s="12"/>
      <c r="E379" s="12"/>
      <c r="F379" s="12"/>
      <c r="G379" s="12"/>
      <c r="H379" s="12"/>
      <c r="I379" s="12"/>
    </row>
    <row r="385" spans="4:9" ht="12.75">
      <c r="D385" s="12"/>
      <c r="E385" s="12"/>
      <c r="F385" s="12"/>
      <c r="G385" s="12"/>
      <c r="H385" s="12"/>
      <c r="I385" s="12"/>
    </row>
    <row r="391" spans="4:9" ht="12.75">
      <c r="D391" s="12"/>
      <c r="E391" s="12"/>
      <c r="F391" s="12"/>
      <c r="G391" s="12"/>
      <c r="H391" s="12"/>
      <c r="I391" s="12"/>
    </row>
    <row r="397" spans="4:9" ht="12.75">
      <c r="D397" s="12"/>
      <c r="E397" s="12"/>
      <c r="F397" s="12"/>
      <c r="G397" s="12"/>
      <c r="H397" s="12"/>
      <c r="I397" s="12"/>
    </row>
    <row r="403" spans="4:9" ht="12.75">
      <c r="D403" s="12"/>
      <c r="E403" s="12"/>
      <c r="F403" s="12"/>
      <c r="G403" s="12"/>
      <c r="H403" s="12"/>
      <c r="I403" s="12"/>
    </row>
    <row r="409" spans="4:9" ht="12.75">
      <c r="D409" s="12"/>
      <c r="E409" s="12"/>
      <c r="F409" s="12"/>
      <c r="G409" s="12"/>
      <c r="H409" s="12"/>
      <c r="I409" s="12"/>
    </row>
    <row r="414" spans="4:9" ht="12.75">
      <c r="D414" s="12"/>
      <c r="E414" s="12"/>
      <c r="F414" s="12"/>
      <c r="G414" s="12"/>
      <c r="H414" s="12"/>
      <c r="I414" s="12"/>
    </row>
    <row r="419" spans="4:9" ht="12.75">
      <c r="D419" s="12"/>
      <c r="E419" s="12"/>
      <c r="F419" s="12"/>
      <c r="G419" s="12"/>
      <c r="H419" s="12"/>
      <c r="I419" s="12"/>
    </row>
    <row r="425" spans="4:9" ht="12.75">
      <c r="D425" s="12"/>
      <c r="E425" s="12"/>
      <c r="F425" s="12"/>
      <c r="G425" s="12"/>
      <c r="H425" s="12"/>
      <c r="I425" s="12"/>
    </row>
    <row r="428" spans="4:9" ht="12.75">
      <c r="D428" s="12"/>
      <c r="E428" s="12"/>
      <c r="F428" s="12"/>
      <c r="G428" s="12"/>
      <c r="H428" s="12"/>
      <c r="I428" s="12"/>
    </row>
    <row r="434" spans="4:9" ht="12.75">
      <c r="D434" s="12"/>
      <c r="E434" s="12"/>
      <c r="F434" s="12"/>
      <c r="G434" s="12"/>
      <c r="H434" s="12"/>
      <c r="I434" s="12"/>
    </row>
    <row r="439" spans="4:9" ht="12.75">
      <c r="D439" s="12"/>
      <c r="E439" s="12"/>
      <c r="F439" s="12"/>
      <c r="G439" s="12"/>
      <c r="H439" s="12"/>
      <c r="I439" s="12"/>
    </row>
    <row r="445" spans="4:9" ht="12.75">
      <c r="D445" s="12"/>
      <c r="E445" s="12"/>
      <c r="F445" s="12"/>
      <c r="G445" s="12"/>
      <c r="H445" s="12"/>
      <c r="I445" s="12"/>
    </row>
    <row r="451" spans="4:9" ht="12.75">
      <c r="D451" s="12"/>
      <c r="E451" s="12"/>
      <c r="F451" s="12"/>
      <c r="G451" s="12"/>
      <c r="H451" s="12"/>
      <c r="I451" s="12"/>
    </row>
    <row r="457" spans="4:9" ht="12.75">
      <c r="D457" s="12"/>
      <c r="E457" s="12"/>
      <c r="F457" s="12"/>
      <c r="G457" s="12"/>
      <c r="H457" s="12"/>
      <c r="I457" s="12"/>
    </row>
    <row r="463" spans="4:9" ht="12.75">
      <c r="D463" s="12"/>
      <c r="E463" s="12"/>
      <c r="F463" s="12"/>
      <c r="G463" s="12"/>
      <c r="H463" s="12"/>
      <c r="I463" s="12"/>
    </row>
    <row r="469" spans="4:9" ht="12.75">
      <c r="D469" s="12"/>
      <c r="E469" s="12"/>
      <c r="F469" s="12"/>
      <c r="G469" s="12"/>
      <c r="H469" s="12"/>
      <c r="I469" s="12"/>
    </row>
    <row r="475" spans="4:9" ht="12.75">
      <c r="D475" s="12"/>
      <c r="E475" s="12"/>
      <c r="F475" s="12"/>
      <c r="G475" s="12"/>
      <c r="H475" s="12"/>
      <c r="I475" s="12"/>
    </row>
    <row r="481" spans="4:9" ht="12.75">
      <c r="D481" s="12"/>
      <c r="E481" s="12"/>
      <c r="F481" s="12"/>
      <c r="G481" s="12"/>
      <c r="H481" s="12"/>
      <c r="I481" s="12"/>
    </row>
    <row r="487" spans="4:9" ht="12.75">
      <c r="D487" s="12"/>
      <c r="E487" s="12"/>
      <c r="F487" s="12"/>
      <c r="G487" s="12"/>
      <c r="H487" s="12"/>
      <c r="I487" s="12"/>
    </row>
    <row r="493" spans="4:9" ht="12.75">
      <c r="D493" s="12"/>
      <c r="E493" s="12"/>
      <c r="F493" s="12"/>
      <c r="G493" s="12"/>
      <c r="H493" s="12"/>
      <c r="I493" s="12"/>
    </row>
    <row r="499" spans="4:9" ht="12.75">
      <c r="D499" s="12"/>
      <c r="E499" s="12"/>
      <c r="F499" s="12"/>
      <c r="G499" s="12"/>
      <c r="H499" s="12"/>
      <c r="I499" s="12"/>
    </row>
    <row r="505" spans="4:9" ht="12.75">
      <c r="D505" s="12"/>
      <c r="E505" s="12"/>
      <c r="F505" s="12"/>
      <c r="G505" s="12"/>
      <c r="H505" s="12"/>
      <c r="I505" s="12"/>
    </row>
    <row r="511" spans="4:9" ht="12.75">
      <c r="D511" s="12"/>
      <c r="E511" s="12"/>
      <c r="F511" s="12"/>
      <c r="G511" s="12"/>
      <c r="H511" s="12"/>
      <c r="I511" s="12"/>
    </row>
    <row r="517" spans="4:9" ht="12.75">
      <c r="D517" s="12"/>
      <c r="E517" s="12"/>
      <c r="F517" s="12"/>
      <c r="G517" s="12"/>
      <c r="H517" s="12"/>
      <c r="I517" s="12"/>
    </row>
    <row r="523" spans="4:9" ht="12.75">
      <c r="D523" s="12"/>
      <c r="E523" s="12"/>
      <c r="F523" s="12"/>
      <c r="G523" s="12"/>
      <c r="H523" s="12"/>
      <c r="I523" s="12"/>
    </row>
    <row r="529" spans="4:9" ht="12.75">
      <c r="D529" s="12"/>
      <c r="E529" s="12"/>
      <c r="F529" s="12"/>
      <c r="G529" s="12"/>
      <c r="H529" s="12"/>
      <c r="I529" s="12"/>
    </row>
    <row r="535" spans="4:9" ht="12.75">
      <c r="D535" s="12"/>
      <c r="E535" s="12"/>
      <c r="F535" s="12"/>
      <c r="G535" s="12"/>
      <c r="H535" s="12"/>
      <c r="I535" s="12"/>
    </row>
    <row r="541" spans="4:9" ht="12.75">
      <c r="D541" s="12"/>
      <c r="E541" s="12"/>
      <c r="F541" s="12"/>
      <c r="G541" s="12"/>
      <c r="H541" s="12"/>
      <c r="I541" s="12"/>
    </row>
    <row r="547" spans="4:9" ht="12.75">
      <c r="D547" s="12"/>
      <c r="E547" s="12"/>
      <c r="F547" s="12"/>
      <c r="G547" s="12"/>
      <c r="H547" s="12"/>
      <c r="I547" s="12"/>
    </row>
    <row r="552" spans="4:9" ht="12.75">
      <c r="D552" s="12"/>
      <c r="E552" s="12"/>
      <c r="F552" s="12"/>
      <c r="G552" s="12"/>
      <c r="H552" s="12"/>
      <c r="I552" s="12"/>
    </row>
    <row r="558" spans="4:9" ht="12.75">
      <c r="D558" s="12"/>
      <c r="E558" s="12"/>
      <c r="F558" s="12"/>
      <c r="G558" s="12"/>
      <c r="H558" s="12"/>
      <c r="I558" s="12"/>
    </row>
    <row r="564" spans="4:9" ht="12.75">
      <c r="D564" s="12"/>
      <c r="E564" s="12"/>
      <c r="F564" s="12"/>
      <c r="G564" s="12"/>
      <c r="H564" s="12"/>
      <c r="I564" s="12"/>
    </row>
    <row r="570" spans="4:9" ht="12.75">
      <c r="D570" s="12"/>
      <c r="E570" s="12"/>
      <c r="F570" s="12"/>
      <c r="G570" s="12"/>
      <c r="H570" s="12"/>
      <c r="I570" s="12"/>
    </row>
    <row r="576" spans="4:9" ht="12.75">
      <c r="D576" s="12"/>
      <c r="E576" s="12"/>
      <c r="F576" s="12"/>
      <c r="G576" s="12"/>
      <c r="H576" s="12"/>
      <c r="I576" s="12"/>
    </row>
    <row r="582" spans="4:9" ht="12.75">
      <c r="D582" s="12"/>
      <c r="E582" s="12"/>
      <c r="F582" s="12"/>
      <c r="G582" s="12"/>
      <c r="H582" s="12"/>
      <c r="I582" s="12"/>
    </row>
    <row r="588" spans="4:9" ht="12.75">
      <c r="D588" s="12"/>
      <c r="E588" s="12"/>
      <c r="F588" s="12"/>
      <c r="G588" s="12"/>
      <c r="H588" s="12"/>
      <c r="I588" s="12"/>
    </row>
    <row r="592" spans="4:9" ht="12.75">
      <c r="D592" s="12"/>
      <c r="E592" s="12"/>
      <c r="F592" s="12"/>
      <c r="G592" s="12"/>
      <c r="H592" s="12"/>
      <c r="I592" s="12"/>
    </row>
    <row r="598" spans="4:9" ht="12.75">
      <c r="D598" s="12"/>
      <c r="E598" s="12"/>
      <c r="F598" s="12"/>
      <c r="G598" s="12"/>
      <c r="H598" s="12"/>
      <c r="I598" s="12"/>
    </row>
    <row r="604" spans="4:9" ht="12.75">
      <c r="D604" s="12"/>
      <c r="E604" s="12"/>
      <c r="F604" s="12"/>
      <c r="G604" s="12"/>
      <c r="H604" s="12"/>
      <c r="I604" s="12"/>
    </row>
    <row r="610" spans="4:9" ht="12.75">
      <c r="D610" s="12"/>
      <c r="E610" s="12"/>
      <c r="F610" s="12"/>
      <c r="G610" s="12"/>
      <c r="H610" s="12"/>
      <c r="I610" s="12"/>
    </row>
    <row r="616" spans="4:9" ht="12.75">
      <c r="D616" s="12"/>
      <c r="E616" s="12"/>
      <c r="F616" s="12"/>
      <c r="G616" s="12"/>
      <c r="H616" s="12"/>
      <c r="I616" s="12"/>
    </row>
    <row r="622" spans="4:9" ht="12.75">
      <c r="D622" s="12"/>
      <c r="E622" s="12"/>
      <c r="F622" s="12"/>
      <c r="G622" s="12"/>
      <c r="H622" s="12"/>
      <c r="I622" s="12"/>
    </row>
    <row r="628" spans="4:9" ht="12.75">
      <c r="D628" s="12"/>
      <c r="E628" s="12"/>
      <c r="F628" s="12"/>
      <c r="G628" s="12"/>
      <c r="H628" s="12"/>
      <c r="I628" s="12"/>
    </row>
    <row r="634" spans="4:9" ht="12.75">
      <c r="D634" s="12"/>
      <c r="E634" s="12"/>
      <c r="F634" s="12"/>
      <c r="G634" s="12"/>
      <c r="H634" s="12"/>
      <c r="I634" s="12"/>
    </row>
    <row r="640" spans="4:9" ht="12.75">
      <c r="D640" s="12"/>
      <c r="E640" s="12"/>
      <c r="F640" s="12"/>
      <c r="G640" s="12"/>
      <c r="H640" s="12"/>
      <c r="I640" s="12"/>
    </row>
    <row r="646" spans="4:9" ht="12.75">
      <c r="D646" s="12"/>
      <c r="E646" s="12"/>
      <c r="F646" s="12"/>
      <c r="G646" s="12"/>
      <c r="H646" s="12"/>
      <c r="I646" s="12"/>
    </row>
    <row r="652" spans="4:9" ht="12.75">
      <c r="D652" s="12"/>
      <c r="E652" s="12"/>
      <c r="F652" s="12"/>
      <c r="G652" s="12"/>
      <c r="H652" s="12"/>
      <c r="I652" s="12"/>
    </row>
    <row r="658" spans="4:9" ht="12.75">
      <c r="D658" s="12"/>
      <c r="E658" s="12"/>
      <c r="F658" s="12"/>
      <c r="G658" s="12"/>
      <c r="H658" s="12"/>
      <c r="I658" s="12"/>
    </row>
    <row r="664" spans="4:9" ht="12.75">
      <c r="D664" s="12"/>
      <c r="E664" s="12"/>
      <c r="F664" s="12"/>
      <c r="G664" s="12"/>
      <c r="H664" s="12"/>
      <c r="I664" s="12"/>
    </row>
    <row r="670" spans="4:9" ht="12.75">
      <c r="D670" s="12"/>
      <c r="E670" s="12"/>
      <c r="F670" s="12"/>
      <c r="G670" s="12"/>
      <c r="H670" s="12"/>
      <c r="I670" s="12"/>
    </row>
    <row r="676" spans="4:9" ht="12.75">
      <c r="D676" s="12"/>
      <c r="E676" s="12"/>
      <c r="F676" s="12"/>
      <c r="G676" s="12"/>
      <c r="H676" s="12"/>
      <c r="I676" s="12"/>
    </row>
    <row r="682" spans="4:9" ht="12.75">
      <c r="D682" s="12"/>
      <c r="E682" s="12"/>
      <c r="F682" s="12"/>
      <c r="G682" s="12"/>
      <c r="H682" s="12"/>
      <c r="I682" s="12"/>
    </row>
    <row r="688" spans="4:9" ht="12.75">
      <c r="D688" s="12"/>
      <c r="E688" s="12"/>
      <c r="F688" s="12"/>
      <c r="G688" s="12"/>
      <c r="H688" s="12"/>
      <c r="I688" s="12"/>
    </row>
    <row r="694" spans="4:9" ht="12.75">
      <c r="D694" s="12"/>
      <c r="E694" s="12"/>
      <c r="F694" s="12"/>
      <c r="G694" s="12"/>
      <c r="H694" s="12"/>
      <c r="I694" s="12"/>
    </row>
    <row r="700" spans="4:9" ht="12.75">
      <c r="D700" s="12"/>
      <c r="E700" s="12"/>
      <c r="F700" s="12"/>
      <c r="G700" s="12"/>
      <c r="H700" s="12"/>
      <c r="I700" s="12"/>
    </row>
    <row r="706" spans="4:9" ht="12.75">
      <c r="D706" s="12"/>
      <c r="E706" s="12"/>
      <c r="F706" s="12"/>
      <c r="G706" s="12"/>
      <c r="H706" s="12"/>
      <c r="I706" s="12"/>
    </row>
    <row r="712" spans="4:9" ht="12.75">
      <c r="D712" s="12"/>
      <c r="E712" s="12"/>
      <c r="F712" s="12"/>
      <c r="G712" s="12"/>
      <c r="H712" s="12"/>
      <c r="I712" s="12"/>
    </row>
    <row r="718" spans="4:9" ht="12.75">
      <c r="D718" s="12"/>
      <c r="E718" s="12"/>
      <c r="F718" s="12"/>
      <c r="G718" s="12"/>
      <c r="H718" s="12"/>
      <c r="I718" s="12"/>
    </row>
    <row r="724" spans="4:9" ht="12.75">
      <c r="D724" s="12"/>
      <c r="E724" s="12"/>
      <c r="F724" s="12"/>
      <c r="G724" s="12"/>
      <c r="H724" s="12"/>
      <c r="I724" s="12"/>
    </row>
    <row r="730" spans="4:9" ht="12.75">
      <c r="D730" s="12"/>
      <c r="E730" s="12"/>
      <c r="F730" s="12"/>
      <c r="G730" s="12"/>
      <c r="H730" s="12"/>
      <c r="I730" s="12"/>
    </row>
    <row r="736" spans="4:9" ht="12.75">
      <c r="D736" s="12"/>
      <c r="E736" s="12"/>
      <c r="F736" s="12"/>
      <c r="G736" s="12"/>
      <c r="H736" s="12"/>
      <c r="I736" s="12"/>
    </row>
    <row r="742" spans="4:9" ht="12.75">
      <c r="D742" s="12"/>
      <c r="E742" s="12"/>
      <c r="F742" s="12"/>
      <c r="G742" s="12"/>
      <c r="H742" s="12"/>
      <c r="I742" s="12"/>
    </row>
    <row r="748" spans="4:9" ht="12.75">
      <c r="D748" s="12"/>
      <c r="E748" s="12"/>
      <c r="F748" s="12"/>
      <c r="G748" s="12"/>
      <c r="H748" s="12"/>
      <c r="I748" s="12"/>
    </row>
    <row r="754" spans="4:9" ht="12.75">
      <c r="D754" s="12"/>
      <c r="E754" s="12"/>
      <c r="F754" s="12"/>
      <c r="G754" s="12"/>
      <c r="H754" s="12"/>
      <c r="I754" s="12"/>
    </row>
    <row r="760" spans="4:9" ht="12.75">
      <c r="D760" s="12"/>
      <c r="E760" s="12"/>
      <c r="F760" s="12"/>
      <c r="G760" s="12"/>
      <c r="H760" s="12"/>
      <c r="I760" s="12"/>
    </row>
    <row r="766" spans="4:9" ht="12.75">
      <c r="D766" s="12"/>
      <c r="E766" s="12"/>
      <c r="F766" s="12"/>
      <c r="G766" s="12"/>
      <c r="H766" s="12"/>
      <c r="I766" s="12"/>
    </row>
    <row r="772" spans="4:9" ht="12.75">
      <c r="D772" s="12"/>
      <c r="E772" s="12"/>
      <c r="F772" s="12"/>
      <c r="G772" s="12"/>
      <c r="H772" s="12"/>
      <c r="I772" s="12"/>
    </row>
    <row r="778" spans="4:9" ht="12.75">
      <c r="D778" s="12"/>
      <c r="E778" s="12"/>
      <c r="F778" s="12"/>
      <c r="G778" s="12"/>
      <c r="H778" s="12"/>
      <c r="I778" s="12"/>
    </row>
    <row r="784" spans="4:9" ht="12.75">
      <c r="D784" s="12"/>
      <c r="E784" s="12"/>
      <c r="F784" s="12"/>
      <c r="G784" s="12"/>
      <c r="H784" s="12"/>
      <c r="I784" s="12"/>
    </row>
    <row r="787" spans="4:9" ht="12.75">
      <c r="D787" s="12"/>
      <c r="E787" s="12"/>
      <c r="F787" s="12"/>
      <c r="G787" s="12"/>
      <c r="H787" s="12"/>
      <c r="I787" s="12"/>
    </row>
    <row r="793" spans="4:9" ht="12.75">
      <c r="D793" s="12"/>
      <c r="E793" s="12"/>
      <c r="F793" s="12"/>
      <c r="G793" s="12"/>
      <c r="H793" s="12"/>
      <c r="I793" s="12"/>
    </row>
    <row r="799" spans="4:9" ht="12.75">
      <c r="D799" s="12"/>
      <c r="E799" s="12"/>
      <c r="F799" s="12"/>
      <c r="G799" s="12"/>
      <c r="H799" s="12"/>
      <c r="I799" s="12"/>
    </row>
    <row r="805" spans="4:9" ht="12.75">
      <c r="D805" s="12"/>
      <c r="E805" s="12"/>
      <c r="F805" s="12"/>
      <c r="G805" s="12"/>
      <c r="H805" s="12"/>
      <c r="I805" s="12"/>
    </row>
    <row r="811" spans="4:9" ht="12.75">
      <c r="D811" s="12"/>
      <c r="E811" s="12"/>
      <c r="F811" s="12"/>
      <c r="G811" s="12"/>
      <c r="H811" s="12"/>
      <c r="I811" s="12"/>
    </row>
    <row r="817" spans="4:9" ht="12.75">
      <c r="D817" s="12"/>
      <c r="E817" s="12"/>
      <c r="F817" s="12"/>
      <c r="G817" s="12"/>
      <c r="H817" s="12"/>
      <c r="I817" s="12"/>
    </row>
    <row r="823" spans="4:9" ht="12.75">
      <c r="D823" s="12"/>
      <c r="E823" s="12"/>
      <c r="F823" s="12"/>
      <c r="G823" s="12"/>
      <c r="H823" s="12"/>
      <c r="I823" s="12"/>
    </row>
    <row r="829" spans="4:9" ht="12.75">
      <c r="D829" s="12"/>
      <c r="E829" s="12"/>
      <c r="F829" s="12"/>
      <c r="G829" s="12"/>
      <c r="H829" s="12"/>
      <c r="I829" s="12"/>
    </row>
    <row r="835" spans="4:9" ht="12.75">
      <c r="D835" s="12"/>
      <c r="E835" s="12"/>
      <c r="F835" s="12"/>
      <c r="G835" s="12"/>
      <c r="H835" s="12"/>
      <c r="I835" s="12"/>
    </row>
    <row r="840" spans="4:9" ht="12.75">
      <c r="D840" s="12"/>
      <c r="E840" s="12"/>
      <c r="F840" s="12"/>
      <c r="G840" s="12"/>
      <c r="H840" s="12"/>
      <c r="I840" s="12"/>
    </row>
    <row r="846" spans="4:9" ht="12.75">
      <c r="D846" s="12"/>
      <c r="E846" s="12"/>
      <c r="F846" s="12"/>
      <c r="G846" s="12"/>
      <c r="H846" s="12"/>
      <c r="I846" s="12"/>
    </row>
    <row r="852" spans="4:9" ht="12.75">
      <c r="D852" s="12"/>
      <c r="E852" s="12"/>
      <c r="F852" s="12"/>
      <c r="G852" s="12"/>
      <c r="H852" s="12"/>
      <c r="I852" s="12"/>
    </row>
    <row r="858" spans="4:9" ht="12.75">
      <c r="D858" s="12"/>
      <c r="E858" s="12"/>
      <c r="F858" s="12"/>
      <c r="G858" s="12"/>
      <c r="H858" s="12"/>
      <c r="I858" s="12"/>
    </row>
    <row r="864" spans="4:9" ht="12.75">
      <c r="D864" s="12"/>
      <c r="E864" s="12"/>
      <c r="F864" s="12"/>
      <c r="G864" s="12"/>
      <c r="H864" s="12"/>
      <c r="I864" s="12"/>
    </row>
    <row r="873" spans="4:9" ht="12.75">
      <c r="D873" s="12"/>
      <c r="E873" s="12"/>
      <c r="F873" s="12"/>
      <c r="G873" s="12"/>
      <c r="H873" s="12"/>
      <c r="I873" s="12"/>
    </row>
    <row r="879" spans="4:9" ht="12.75">
      <c r="D879" s="12"/>
      <c r="E879" s="12"/>
      <c r="F879" s="12"/>
      <c r="G879" s="12"/>
      <c r="H879" s="12"/>
      <c r="I879" s="12"/>
    </row>
    <row r="885" spans="4:9" ht="12.75">
      <c r="D885" s="12"/>
      <c r="E885" s="12"/>
      <c r="F885" s="12"/>
      <c r="G885" s="12"/>
      <c r="H885" s="12"/>
      <c r="I885" s="12"/>
    </row>
    <row r="891" spans="4:9" ht="12.75">
      <c r="D891" s="12"/>
      <c r="E891" s="12"/>
      <c r="F891" s="12"/>
      <c r="G891" s="12"/>
      <c r="H891" s="12"/>
      <c r="I891" s="12"/>
    </row>
    <row r="897" spans="4:9" ht="12.75">
      <c r="D897" s="12"/>
      <c r="E897" s="12"/>
      <c r="F897" s="12"/>
      <c r="G897" s="12"/>
      <c r="H897" s="12"/>
      <c r="I897" s="12"/>
    </row>
    <row r="903" spans="4:9" ht="12.75">
      <c r="D903" s="12"/>
      <c r="E903" s="12"/>
      <c r="F903" s="12"/>
      <c r="G903" s="12"/>
      <c r="H903" s="12"/>
      <c r="I903" s="12"/>
    </row>
    <row r="909" spans="4:9" ht="12.75">
      <c r="D909" s="12"/>
      <c r="E909" s="12"/>
      <c r="F909" s="12"/>
      <c r="G909" s="12"/>
      <c r="H909" s="12"/>
      <c r="I909" s="12"/>
    </row>
    <row r="915" spans="4:9" ht="12.75">
      <c r="D915" s="12"/>
      <c r="E915" s="12"/>
      <c r="F915" s="12"/>
      <c r="G915" s="12"/>
      <c r="H915" s="12"/>
      <c r="I915" s="12"/>
    </row>
    <row r="921" spans="4:9" ht="12.75">
      <c r="D921" s="12"/>
      <c r="E921" s="12"/>
      <c r="F921" s="12"/>
      <c r="G921" s="12"/>
      <c r="H921" s="12"/>
      <c r="I921" s="12"/>
    </row>
    <row r="927" spans="4:9" ht="12.75">
      <c r="D927" s="12"/>
      <c r="E927" s="12"/>
      <c r="F927" s="12"/>
      <c r="G927" s="12"/>
      <c r="H927" s="12"/>
      <c r="I927" s="12"/>
    </row>
    <row r="933" spans="4:9" ht="12.75">
      <c r="D933" s="12"/>
      <c r="E933" s="12"/>
      <c r="F933" s="12"/>
      <c r="G933" s="12"/>
      <c r="H933" s="12"/>
      <c r="I933" s="12"/>
    </row>
    <row r="939" spans="4:9" ht="12.75">
      <c r="D939" s="12"/>
      <c r="E939" s="12"/>
      <c r="F939" s="12"/>
      <c r="G939" s="12"/>
      <c r="H939" s="12"/>
      <c r="I939" s="12"/>
    </row>
    <row r="945" spans="4:9" ht="12.75">
      <c r="D945" s="12"/>
      <c r="E945" s="12"/>
      <c r="F945" s="12"/>
      <c r="G945" s="12"/>
      <c r="H945" s="12"/>
      <c r="I945" s="12"/>
    </row>
    <row r="951" spans="4:9" ht="12.75">
      <c r="D951" s="12"/>
      <c r="E951" s="12"/>
      <c r="F951" s="12"/>
      <c r="G951" s="12"/>
      <c r="H951" s="12"/>
      <c r="I951" s="12"/>
    </row>
    <row r="957" spans="4:9" ht="12.75">
      <c r="D957" s="12"/>
      <c r="E957" s="12"/>
      <c r="F957" s="12"/>
      <c r="G957" s="12"/>
      <c r="H957" s="12"/>
      <c r="I957" s="12"/>
    </row>
    <row r="963" spans="4:9" ht="12.75">
      <c r="D963" s="12"/>
      <c r="E963" s="12"/>
      <c r="F963" s="12"/>
      <c r="G963" s="12"/>
      <c r="H963" s="12"/>
      <c r="I963" s="12"/>
    </row>
    <row r="969" spans="4:9" ht="12.75">
      <c r="D969" s="12"/>
      <c r="E969" s="12"/>
      <c r="F969" s="12"/>
      <c r="G969" s="12"/>
      <c r="H969" s="12"/>
      <c r="I969" s="12"/>
    </row>
    <row r="971" ht="12.75">
      <c r="C971" s="8"/>
    </row>
    <row r="972" ht="12.75">
      <c r="C972" s="8"/>
    </row>
    <row r="973" ht="12.75">
      <c r="C973" s="8"/>
    </row>
    <row r="974" ht="12.75">
      <c r="C974" s="8"/>
    </row>
    <row r="975" spans="3:9" ht="12.75">
      <c r="C975" s="8"/>
      <c r="D975" s="12"/>
      <c r="E975" s="12"/>
      <c r="F975" s="12"/>
      <c r="G975" s="12"/>
      <c r="H975" s="12"/>
      <c r="I975" s="12"/>
    </row>
    <row r="976" ht="12.75">
      <c r="C976" s="8"/>
    </row>
    <row r="977" ht="12.75">
      <c r="C977" s="8"/>
    </row>
    <row r="978" ht="12.75">
      <c r="C978" s="8"/>
    </row>
    <row r="979" ht="12.75">
      <c r="C979" s="8"/>
    </row>
    <row r="980" ht="12.75">
      <c r="C980" s="8"/>
    </row>
    <row r="981" spans="3:9" ht="12.75">
      <c r="C981" s="8"/>
      <c r="D981" s="12"/>
      <c r="E981" s="12"/>
      <c r="F981" s="12"/>
      <c r="G981" s="12"/>
      <c r="H981" s="12"/>
      <c r="I981" s="12"/>
    </row>
    <row r="982" ht="12.75">
      <c r="C982" s="8"/>
    </row>
    <row r="983" ht="12.75">
      <c r="C983" s="8"/>
    </row>
    <row r="984" ht="12.75">
      <c r="C984" s="8"/>
    </row>
    <row r="985" ht="12.75">
      <c r="C985" s="8"/>
    </row>
    <row r="986" ht="12.75">
      <c r="C986" s="8"/>
    </row>
    <row r="987" spans="3:9" ht="12.75">
      <c r="C987" s="8"/>
      <c r="D987" s="12"/>
      <c r="E987" s="12"/>
      <c r="F987" s="12"/>
      <c r="G987" s="12"/>
      <c r="H987" s="12"/>
      <c r="I987" s="12"/>
    </row>
    <row r="988" ht="12.75">
      <c r="C988" s="8"/>
    </row>
    <row r="989" ht="12.75">
      <c r="C989" s="8"/>
    </row>
    <row r="990" ht="12.75">
      <c r="C990" s="8"/>
    </row>
    <row r="991" ht="12.75">
      <c r="C991" s="8"/>
    </row>
    <row r="992" ht="12.75">
      <c r="C992" s="8"/>
    </row>
    <row r="993" spans="3:9" ht="12.75">
      <c r="C993" s="8"/>
      <c r="D993" s="12"/>
      <c r="E993" s="12"/>
      <c r="F993" s="12"/>
      <c r="G993" s="12"/>
      <c r="H993" s="12"/>
      <c r="I993" s="12"/>
    </row>
    <row r="994" ht="12.75">
      <c r="C994" s="8"/>
    </row>
    <row r="995" ht="12.75">
      <c r="C995" s="8"/>
    </row>
    <row r="996" ht="12.75">
      <c r="C996" s="8"/>
    </row>
    <row r="997" ht="12.75">
      <c r="C997" s="8"/>
    </row>
    <row r="998" ht="12.75">
      <c r="C998" s="8"/>
    </row>
    <row r="999" spans="3:9" ht="12.75">
      <c r="C999" s="8"/>
      <c r="D999" s="12"/>
      <c r="E999" s="12"/>
      <c r="F999" s="12"/>
      <c r="G999" s="12"/>
      <c r="H999" s="12"/>
      <c r="I999" s="12"/>
    </row>
    <row r="1000" ht="12.75">
      <c r="C1000" s="8"/>
    </row>
    <row r="1001" ht="12.75">
      <c r="C1001" s="8"/>
    </row>
    <row r="1002" ht="12.75">
      <c r="C1002" s="8"/>
    </row>
    <row r="1003" ht="12.75">
      <c r="C1003" s="8"/>
    </row>
    <row r="1004" ht="12.75">
      <c r="C1004" s="8"/>
    </row>
    <row r="1005" spans="3:9" ht="12.75">
      <c r="C1005" s="8"/>
      <c r="D1005" s="12"/>
      <c r="E1005" s="12"/>
      <c r="F1005" s="12"/>
      <c r="G1005" s="12"/>
      <c r="H1005" s="12"/>
      <c r="I1005" s="12"/>
    </row>
    <row r="1006" ht="12.75">
      <c r="C1006" s="8"/>
    </row>
    <row r="1007" ht="12.75">
      <c r="C1007" s="8"/>
    </row>
    <row r="1008" ht="12.75">
      <c r="C1008" s="8"/>
    </row>
    <row r="1009" ht="12.75">
      <c r="C1009" s="8"/>
    </row>
    <row r="1010" ht="12.75">
      <c r="C1010" s="8"/>
    </row>
    <row r="1011" spans="3:9" ht="12.75">
      <c r="C1011" s="8"/>
      <c r="D1011" s="12"/>
      <c r="E1011" s="12"/>
      <c r="F1011" s="12"/>
      <c r="G1011" s="12"/>
      <c r="H1011" s="12"/>
      <c r="I1011" s="12"/>
    </row>
    <row r="1012" ht="12.75">
      <c r="C1012" s="8"/>
    </row>
    <row r="1013" ht="12.75">
      <c r="C1013" s="8"/>
    </row>
    <row r="1014" ht="12.75">
      <c r="C1014" s="8"/>
    </row>
    <row r="1015" ht="12.75">
      <c r="C1015" s="8"/>
    </row>
    <row r="1016" ht="12.75">
      <c r="C1016" s="8"/>
    </row>
    <row r="1017" spans="3:9" ht="12.75">
      <c r="C1017" s="8"/>
      <c r="D1017" s="12"/>
      <c r="E1017" s="12"/>
      <c r="F1017" s="12"/>
      <c r="G1017" s="12"/>
      <c r="H1017" s="12"/>
      <c r="I1017" s="12"/>
    </row>
    <row r="1018" ht="12.75">
      <c r="C1018" s="8"/>
    </row>
    <row r="1019" ht="12.75">
      <c r="C1019" s="8"/>
    </row>
    <row r="1020" ht="12.75">
      <c r="C1020" s="8"/>
    </row>
    <row r="1021" ht="12.75">
      <c r="C1021" s="8"/>
    </row>
    <row r="1022" ht="12.75">
      <c r="C1022" s="8"/>
    </row>
    <row r="1023" spans="3:9" ht="12.75">
      <c r="C1023" s="8"/>
      <c r="D1023" s="12"/>
      <c r="E1023" s="12"/>
      <c r="F1023" s="12"/>
      <c r="G1023" s="12"/>
      <c r="H1023" s="12"/>
      <c r="I1023" s="12"/>
    </row>
    <row r="1024" ht="12.75">
      <c r="C1024" s="8"/>
    </row>
    <row r="1025" ht="12.75">
      <c r="C1025" s="8"/>
    </row>
    <row r="1026" ht="12.75">
      <c r="C1026" s="8"/>
    </row>
    <row r="1027" ht="12.75">
      <c r="C1027" s="8"/>
    </row>
    <row r="1028" ht="12.75">
      <c r="C1028" s="8"/>
    </row>
    <row r="1029" spans="3:9" ht="12.75">
      <c r="C1029" s="8"/>
      <c r="D1029" s="12"/>
      <c r="E1029" s="12"/>
      <c r="F1029" s="12"/>
      <c r="G1029" s="12"/>
      <c r="H1029" s="12"/>
      <c r="I1029" s="12"/>
    </row>
    <row r="1030" ht="12.75">
      <c r="C1030" s="8"/>
    </row>
    <row r="1031" ht="12.75">
      <c r="C1031" s="8"/>
    </row>
    <row r="1032" ht="12.75">
      <c r="C1032" s="8"/>
    </row>
    <row r="1033" ht="12.75">
      <c r="C1033" s="8"/>
    </row>
    <row r="1034" ht="12.75">
      <c r="C1034" s="8"/>
    </row>
    <row r="1035" spans="3:9" ht="12.75">
      <c r="C1035" s="8"/>
      <c r="D1035" s="12"/>
      <c r="E1035" s="12"/>
      <c r="F1035" s="12"/>
      <c r="G1035" s="12"/>
      <c r="H1035" s="12"/>
      <c r="I1035" s="12"/>
    </row>
    <row r="1036" ht="12.75">
      <c r="C1036" s="8"/>
    </row>
    <row r="1037" ht="12.75">
      <c r="C1037" s="8"/>
    </row>
    <row r="1038" ht="12.75">
      <c r="C1038" s="8"/>
    </row>
    <row r="1039" ht="12.75">
      <c r="C1039" s="8"/>
    </row>
    <row r="1040" ht="12.75">
      <c r="C1040" s="8"/>
    </row>
    <row r="1041" spans="3:9" ht="12.75">
      <c r="C1041" s="8"/>
      <c r="D1041" s="12"/>
      <c r="E1041" s="12"/>
      <c r="F1041" s="12"/>
      <c r="G1041" s="12"/>
      <c r="H1041" s="12"/>
      <c r="I1041" s="12"/>
    </row>
    <row r="1042" ht="12.75">
      <c r="C1042" s="8"/>
    </row>
    <row r="1043" ht="12.75">
      <c r="C1043" s="8"/>
    </row>
    <row r="1044" ht="12.75">
      <c r="C1044" s="8"/>
    </row>
    <row r="1045" ht="12.75">
      <c r="C1045" s="8"/>
    </row>
    <row r="1046" ht="12.75">
      <c r="C1046" s="8"/>
    </row>
    <row r="1047" spans="3:9" ht="12.75">
      <c r="C1047" s="8"/>
      <c r="D1047" s="12"/>
      <c r="E1047" s="12"/>
      <c r="F1047" s="12"/>
      <c r="G1047" s="12"/>
      <c r="H1047" s="12"/>
      <c r="I1047" s="12"/>
    </row>
    <row r="1048" ht="12.75">
      <c r="C1048" s="8"/>
    </row>
    <row r="1049" ht="12.75">
      <c r="C1049" s="8"/>
    </row>
    <row r="1050" ht="12.75">
      <c r="C1050" s="8"/>
    </row>
    <row r="1051" ht="12.75">
      <c r="C1051" s="8"/>
    </row>
    <row r="1052" ht="12.75">
      <c r="C1052" s="8"/>
    </row>
    <row r="1053" spans="3:9" ht="12.75">
      <c r="C1053" s="8"/>
      <c r="D1053" s="12"/>
      <c r="E1053" s="12"/>
      <c r="F1053" s="12"/>
      <c r="G1053" s="12"/>
      <c r="H1053" s="12"/>
      <c r="I1053" s="12"/>
    </row>
    <row r="1054" ht="12.75">
      <c r="C1054" s="8"/>
    </row>
    <row r="1055" ht="12.75">
      <c r="C1055" s="8"/>
    </row>
    <row r="1056" ht="12.75">
      <c r="C1056" s="8"/>
    </row>
    <row r="1057" ht="12.75">
      <c r="C1057" s="8"/>
    </row>
    <row r="1058" ht="12.75">
      <c r="C1058" s="8"/>
    </row>
    <row r="1059" spans="3:9" ht="12.75">
      <c r="C1059" s="8"/>
      <c r="D1059" s="12"/>
      <c r="E1059" s="12"/>
      <c r="F1059" s="12"/>
      <c r="G1059" s="12"/>
      <c r="H1059" s="12"/>
      <c r="I1059" s="12"/>
    </row>
    <row r="1060" ht="12.75">
      <c r="C1060" s="8"/>
    </row>
    <row r="1061" ht="12.75">
      <c r="C1061" s="8"/>
    </row>
    <row r="1062" ht="12.75">
      <c r="C1062" s="8"/>
    </row>
    <row r="1063" ht="12.75">
      <c r="C1063" s="8"/>
    </row>
    <row r="1064" ht="12.75">
      <c r="C1064" s="8"/>
    </row>
    <row r="1065" spans="3:9" ht="12.75">
      <c r="C1065" s="8"/>
      <c r="D1065" s="12"/>
      <c r="E1065" s="12"/>
      <c r="F1065" s="12"/>
      <c r="G1065" s="12"/>
      <c r="H1065" s="12"/>
      <c r="I1065" s="12"/>
    </row>
    <row r="1066" ht="12.75">
      <c r="C1066" s="8"/>
    </row>
    <row r="1067" ht="12.75">
      <c r="C1067" s="8"/>
    </row>
    <row r="1068" ht="12.75">
      <c r="C1068" s="8"/>
    </row>
    <row r="1069" ht="12.75">
      <c r="C1069" s="8"/>
    </row>
    <row r="1070" ht="12.75">
      <c r="C1070" s="8"/>
    </row>
    <row r="1071" spans="3:9" ht="12.75">
      <c r="C1071" s="8"/>
      <c r="D1071" s="12"/>
      <c r="E1071" s="12"/>
      <c r="F1071" s="12"/>
      <c r="G1071" s="12"/>
      <c r="H1071" s="12"/>
      <c r="I1071" s="12"/>
    </row>
    <row r="1072" ht="12.75">
      <c r="C1072" s="8"/>
    </row>
    <row r="1073" ht="12.75">
      <c r="C1073" s="8"/>
    </row>
    <row r="1074" ht="12.75">
      <c r="C1074" s="8"/>
    </row>
    <row r="1075" ht="12.75">
      <c r="C1075" s="8"/>
    </row>
    <row r="1076" ht="12.75">
      <c r="C1076" s="8"/>
    </row>
    <row r="1077" spans="3:9" ht="12.75">
      <c r="C1077" s="8"/>
      <c r="D1077" s="12"/>
      <c r="E1077" s="12"/>
      <c r="F1077" s="12"/>
      <c r="G1077" s="12"/>
      <c r="H1077" s="12"/>
      <c r="I1077" s="12"/>
    </row>
    <row r="1078" ht="12.75">
      <c r="C1078" s="8"/>
    </row>
    <row r="1079" ht="12.75">
      <c r="C1079" s="8"/>
    </row>
    <row r="1080" ht="12.75">
      <c r="C1080" s="8"/>
    </row>
    <row r="1081" ht="12.75">
      <c r="C1081" s="8"/>
    </row>
    <row r="1082" ht="12.75">
      <c r="C1082" s="8"/>
    </row>
    <row r="1083" ht="12.75">
      <c r="C1083" s="8"/>
    </row>
    <row r="1084" ht="12.75">
      <c r="C1084" s="8"/>
    </row>
    <row r="1085" spans="3:9" ht="12.75">
      <c r="C1085" s="8"/>
      <c r="D1085" s="12"/>
      <c r="E1085" s="12"/>
      <c r="F1085" s="12"/>
      <c r="G1085" s="12"/>
      <c r="H1085" s="12"/>
      <c r="I1085" s="12"/>
    </row>
    <row r="1086" ht="12.75">
      <c r="C1086" s="8"/>
    </row>
    <row r="1087" ht="12.75">
      <c r="C1087" s="8"/>
    </row>
    <row r="1088" ht="12.75">
      <c r="C1088" s="8"/>
    </row>
    <row r="1089" ht="12.75">
      <c r="C1089" s="8"/>
    </row>
    <row r="1090" ht="12.75">
      <c r="C1090" s="8"/>
    </row>
    <row r="1091" spans="3:9" ht="12.75">
      <c r="C1091" s="8"/>
      <c r="D1091" s="12"/>
      <c r="E1091" s="12"/>
      <c r="F1091" s="12"/>
      <c r="G1091" s="12"/>
      <c r="H1091" s="12"/>
      <c r="I1091" s="12"/>
    </row>
    <row r="1092" ht="12.75">
      <c r="C1092" s="8"/>
    </row>
    <row r="1093" ht="12.75">
      <c r="C1093" s="8"/>
    </row>
    <row r="1094" ht="12.75">
      <c r="C1094" s="8"/>
    </row>
    <row r="1095" ht="12.75">
      <c r="C1095" s="8"/>
    </row>
    <row r="1096" ht="12.75">
      <c r="C1096" s="8"/>
    </row>
    <row r="1097" spans="3:9" ht="12.75">
      <c r="C1097" s="8"/>
      <c r="D1097" s="12"/>
      <c r="E1097" s="12"/>
      <c r="F1097" s="12"/>
      <c r="G1097" s="12"/>
      <c r="H1097" s="12"/>
      <c r="I1097" s="12"/>
    </row>
    <row r="1098" ht="12.75">
      <c r="C1098" s="8"/>
    </row>
    <row r="1099" ht="12.75">
      <c r="C1099" s="8"/>
    </row>
    <row r="1100" ht="12.75">
      <c r="C1100" s="8"/>
    </row>
    <row r="1101" ht="12.75">
      <c r="C1101" s="8"/>
    </row>
    <row r="1102" ht="12.75">
      <c r="C1102" s="8"/>
    </row>
    <row r="1103" spans="3:9" ht="12.75">
      <c r="C1103" s="8"/>
      <c r="D1103" s="12"/>
      <c r="E1103" s="12"/>
      <c r="F1103" s="12"/>
      <c r="G1103" s="12"/>
      <c r="H1103" s="12"/>
      <c r="I1103" s="12"/>
    </row>
    <row r="1104" ht="12.75">
      <c r="C1104" s="8"/>
    </row>
    <row r="1105" ht="12.75">
      <c r="C1105" s="8"/>
    </row>
    <row r="1106" ht="12.75">
      <c r="C1106" s="8"/>
    </row>
    <row r="1107" ht="12.75">
      <c r="C1107" s="8"/>
    </row>
    <row r="1108" ht="12.75">
      <c r="C1108" s="8"/>
    </row>
    <row r="1109" spans="3:9" ht="12.75">
      <c r="C1109" s="8"/>
      <c r="D1109" s="12"/>
      <c r="E1109" s="12"/>
      <c r="F1109" s="12"/>
      <c r="G1109" s="12"/>
      <c r="H1109" s="12"/>
      <c r="I1109" s="12"/>
    </row>
    <row r="1110" ht="12.75">
      <c r="C1110" s="8"/>
    </row>
    <row r="1111" ht="12.75">
      <c r="C1111" s="8"/>
    </row>
    <row r="1112" ht="12.75">
      <c r="C1112" s="8"/>
    </row>
    <row r="1113" ht="12.75">
      <c r="C1113" s="8"/>
    </row>
    <row r="1114" ht="12.75">
      <c r="C1114" s="8"/>
    </row>
    <row r="1115" spans="3:9" ht="12.75">
      <c r="C1115" s="8"/>
      <c r="D1115" s="12"/>
      <c r="E1115" s="12"/>
      <c r="F1115" s="12"/>
      <c r="G1115" s="12"/>
      <c r="H1115" s="12"/>
      <c r="I1115" s="12"/>
    </row>
    <row r="1116" ht="12.75">
      <c r="C1116" s="8"/>
    </row>
    <row r="1117" ht="12.75">
      <c r="C1117" s="8"/>
    </row>
    <row r="1118" ht="12.75">
      <c r="C1118" s="8"/>
    </row>
    <row r="1119" ht="12.75">
      <c r="C1119" s="8"/>
    </row>
    <row r="1120" ht="12.75">
      <c r="C1120" s="8"/>
    </row>
    <row r="1121" spans="3:9" ht="12.75">
      <c r="C1121" s="8"/>
      <c r="D1121" s="12"/>
      <c r="E1121" s="12"/>
      <c r="F1121" s="12"/>
      <c r="G1121" s="12"/>
      <c r="H1121" s="12"/>
      <c r="I1121" s="12"/>
    </row>
    <row r="1122" ht="12.75">
      <c r="C1122" s="8"/>
    </row>
    <row r="1123" ht="12.75">
      <c r="C1123" s="8"/>
    </row>
    <row r="1124" ht="12.75">
      <c r="C1124" s="8"/>
    </row>
    <row r="1125" ht="12.75">
      <c r="C1125" s="8"/>
    </row>
    <row r="1126" ht="12.75">
      <c r="C1126" s="8"/>
    </row>
    <row r="1127" spans="3:9" ht="12.75">
      <c r="C1127" s="8"/>
      <c r="D1127" s="12"/>
      <c r="E1127" s="12"/>
      <c r="F1127" s="12"/>
      <c r="G1127" s="12"/>
      <c r="H1127" s="12"/>
      <c r="I1127" s="12"/>
    </row>
    <row r="1128" ht="12.75">
      <c r="C1128" s="8"/>
    </row>
    <row r="1129" ht="12.75">
      <c r="C1129" s="8"/>
    </row>
    <row r="1130" ht="12.75">
      <c r="C1130" s="8"/>
    </row>
    <row r="1131" ht="12.75">
      <c r="C1131" s="8"/>
    </row>
    <row r="1132" ht="12.75">
      <c r="C1132" s="8"/>
    </row>
    <row r="1133" spans="3:9" ht="12.75">
      <c r="C1133" s="8"/>
      <c r="D1133" s="12"/>
      <c r="E1133" s="12"/>
      <c r="F1133" s="12"/>
      <c r="G1133" s="12"/>
      <c r="H1133" s="12"/>
      <c r="I1133" s="12"/>
    </row>
    <row r="1134" ht="12.75">
      <c r="C1134" s="8"/>
    </row>
    <row r="1135" ht="12.75">
      <c r="C1135" s="8"/>
    </row>
    <row r="1139" spans="4:9" ht="12.75">
      <c r="D1139" s="12"/>
      <c r="E1139" s="12"/>
      <c r="F1139" s="12"/>
      <c r="G1139" s="12"/>
      <c r="H1139" s="12"/>
      <c r="I1139" s="12"/>
    </row>
  </sheetData>
  <sheetProtection/>
  <autoFilter ref="A3:O171"/>
  <mergeCells count="2">
    <mergeCell ref="D182:J182"/>
    <mergeCell ref="J174:O174"/>
  </mergeCells>
  <printOptions/>
  <pageMargins left="0.75" right="0.75" top="1" bottom="1" header="0.5" footer="0.5"/>
  <pageSetup fitToHeight="1" fitToWidth="1" horizontalDpi="600" verticalDpi="600" orientation="portrait" paperSize="8" scale="12"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Health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Adam Millican-Slater</dc:creator>
  <cp:keywords/>
  <dc:description/>
  <cp:lastModifiedBy>Katie Tither</cp:lastModifiedBy>
  <cp:lastPrinted>2013-04-12T10:24:35Z</cp:lastPrinted>
  <dcterms:created xsi:type="dcterms:W3CDTF">2007-10-22T09:46:37Z</dcterms:created>
  <dcterms:modified xsi:type="dcterms:W3CDTF">2013-04-15T12:36:52Z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